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ooH\Dropbox\งานสำนักวิชาการและวิจัย (อ.ปู)\ภาระงาน\แบบฟอร์มภาระงาน\"/>
    </mc:Choice>
  </mc:AlternateContent>
  <xr:revisionPtr revIDLastSave="0" documentId="13_ncr:1_{B80EEFDB-7CDD-4012-BD1E-8F6EF2E3BC09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Sheet2" sheetId="2" state="hidden" r:id="rId1"/>
    <sheet name="การนับภารกิจ" sheetId="3" r:id="rId2"/>
    <sheet name="ภาคการศึกษาที่ 1" sheetId="15" r:id="rId3"/>
    <sheet name="ภาคการศึกษาที่ 2" sheetId="16" r:id="rId4"/>
    <sheet name="สรุปปีการศึกษา" sheetId="7" r:id="rId5"/>
  </sheets>
  <definedNames>
    <definedName name="_xlnm.Print_Area" localSheetId="1">การนับภารกิจ!$A$1:$H$213</definedName>
    <definedName name="_xlnm.Print_Area" localSheetId="4">สรุปปีการศึกษา!$C$1:$O$41</definedName>
    <definedName name="ตำแหน่งวิชาการ">Sheet2!$D$1:$D$4</definedName>
    <definedName name="บริการวิชาการ" localSheetId="3">'ภาคการศึกษาที่ 2'!$BC$125:$BC$136</definedName>
    <definedName name="บริการวิชาการ">'ภาคการศึกษาที่ 1'!$BC$125:$BC$136</definedName>
    <definedName name="ผลงานอื่น_1">Sheet2!$J$2:$J$10</definedName>
    <definedName name="ผลงานอื่น_2">Sheet2!$L$2:$L$7</definedName>
    <definedName name="ผลงานอื่น_3">Sheet2!$N$2:$N$3</definedName>
    <definedName name="ผลงานอื่น_4">Sheet2!$P$2:$P$4</definedName>
    <definedName name="สาขาวิชา">Sheet2!$B$23:$B$53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88" i="16" l="1"/>
  <c r="BL89" i="16"/>
  <c r="BL90" i="16"/>
  <c r="S93" i="16"/>
  <c r="R93" i="16"/>
  <c r="T93" i="16"/>
  <c r="BE92" i="16"/>
  <c r="S92" i="16"/>
  <c r="R92" i="16"/>
  <c r="T92" i="16"/>
  <c r="BE91" i="16"/>
  <c r="S91" i="16"/>
  <c r="R91" i="16"/>
  <c r="T91" i="16"/>
  <c r="BE90" i="16"/>
  <c r="S90" i="16"/>
  <c r="R90" i="16"/>
  <c r="T90" i="16"/>
  <c r="BE89" i="16"/>
  <c r="R89" i="16"/>
  <c r="T89" i="16"/>
  <c r="T94" i="16"/>
  <c r="S89" i="16"/>
  <c r="BE88" i="16"/>
  <c r="BL87" i="16"/>
  <c r="BE87" i="16"/>
  <c r="BE86" i="16"/>
  <c r="BE45" i="16"/>
  <c r="BC45" i="16"/>
  <c r="W45" i="16"/>
  <c r="V45" i="16"/>
  <c r="S45" i="16"/>
  <c r="R45" i="16"/>
  <c r="X45" i="16"/>
  <c r="BE44" i="16"/>
  <c r="BC44" i="16"/>
  <c r="W44" i="16"/>
  <c r="V44" i="16"/>
  <c r="S44" i="16"/>
  <c r="R44" i="16"/>
  <c r="X44" i="16"/>
  <c r="BE43" i="16"/>
  <c r="BC43" i="16"/>
  <c r="W43" i="16"/>
  <c r="V43" i="16"/>
  <c r="S43" i="16"/>
  <c r="R43" i="16"/>
  <c r="X43" i="16"/>
  <c r="BE42" i="16"/>
  <c r="BC42" i="16"/>
  <c r="X42" i="16"/>
  <c r="W42" i="16"/>
  <c r="V42" i="16"/>
  <c r="S42" i="16"/>
  <c r="R42" i="16"/>
  <c r="BC41" i="16"/>
  <c r="BE41" i="16"/>
  <c r="R41" i="16"/>
  <c r="X41" i="16"/>
  <c r="W41" i="16"/>
  <c r="V41" i="16"/>
  <c r="S41" i="16"/>
  <c r="BE40" i="16"/>
  <c r="R40" i="16"/>
  <c r="X40" i="16"/>
  <c r="BC40" i="16"/>
  <c r="W40" i="16"/>
  <c r="V40" i="16"/>
  <c r="S40" i="16"/>
  <c r="BE39" i="16"/>
  <c r="BC39" i="16"/>
  <c r="W39" i="16"/>
  <c r="V39" i="16"/>
  <c r="S39" i="16"/>
  <c r="X39" i="16"/>
  <c r="R39" i="16"/>
  <c r="P29" i="16"/>
  <c r="P28" i="16"/>
  <c r="P27" i="16"/>
  <c r="BJ25" i="16"/>
  <c r="BI25" i="16"/>
  <c r="BH25" i="16"/>
  <c r="BG25" i="16"/>
  <c r="BF25" i="16"/>
  <c r="BE25" i="16"/>
  <c r="BC25" i="16"/>
  <c r="O25" i="16"/>
  <c r="P25" i="16"/>
  <c r="N25" i="16"/>
  <c r="BJ24" i="16"/>
  <c r="BI24" i="16"/>
  <c r="BH24" i="16"/>
  <c r="BG24" i="16"/>
  <c r="BF24" i="16"/>
  <c r="BE24" i="16"/>
  <c r="BC24" i="16"/>
  <c r="O24" i="16"/>
  <c r="P24" i="16"/>
  <c r="N24" i="16"/>
  <c r="BK23" i="16"/>
  <c r="BJ23" i="16"/>
  <c r="BI23" i="16"/>
  <c r="BH23" i="16"/>
  <c r="BG23" i="16"/>
  <c r="BF23" i="16"/>
  <c r="BE23" i="16"/>
  <c r="BC23" i="16"/>
  <c r="O23" i="16"/>
  <c r="N23" i="16"/>
  <c r="P23" i="16"/>
  <c r="BK22" i="16"/>
  <c r="BC22" i="16"/>
  <c r="BI22" i="16"/>
  <c r="N22" i="16"/>
  <c r="P22" i="16"/>
  <c r="O22" i="16"/>
  <c r="BK21" i="16"/>
  <c r="BH17" i="16"/>
  <c r="BC21" i="16"/>
  <c r="BH21" i="16"/>
  <c r="O21" i="16"/>
  <c r="BK20" i="16"/>
  <c r="BJ21" i="16"/>
  <c r="BJ20" i="16"/>
  <c r="BI20" i="16"/>
  <c r="BH20" i="16"/>
  <c r="BG20" i="16"/>
  <c r="BF20" i="16"/>
  <c r="BE20" i="16"/>
  <c r="BC20" i="16"/>
  <c r="O20" i="16"/>
  <c r="N20" i="16"/>
  <c r="P20" i="16"/>
  <c r="BK19" i="16"/>
  <c r="BJ19" i="16"/>
  <c r="BI19" i="16"/>
  <c r="BH19" i="16"/>
  <c r="BG19" i="16"/>
  <c r="BF19" i="16"/>
  <c r="BE19" i="16"/>
  <c r="BC19" i="16"/>
  <c r="O19" i="16"/>
  <c r="N19" i="16"/>
  <c r="P19" i="16"/>
  <c r="BK18" i="16"/>
  <c r="BJ18" i="16"/>
  <c r="BI18" i="16"/>
  <c r="N18" i="16"/>
  <c r="P18" i="16"/>
  <c r="BH18" i="16"/>
  <c r="BG18" i="16"/>
  <c r="BF18" i="16"/>
  <c r="BE18" i="16"/>
  <c r="BC18" i="16"/>
  <c r="O18" i="16"/>
  <c r="BK17" i="16"/>
  <c r="BI17" i="16"/>
  <c r="BG17" i="16"/>
  <c r="BC17" i="16"/>
  <c r="O17" i="16"/>
  <c r="N17" i="16"/>
  <c r="P17" i="16"/>
  <c r="BK16" i="16"/>
  <c r="BI21" i="16"/>
  <c r="N21" i="16"/>
  <c r="P21" i="16"/>
  <c r="BJ16" i="16"/>
  <c r="BI16" i="16"/>
  <c r="BH16" i="16"/>
  <c r="BG16" i="16"/>
  <c r="BF16" i="16"/>
  <c r="BE16" i="16"/>
  <c r="BC16" i="16"/>
  <c r="O16" i="16"/>
  <c r="N16" i="16"/>
  <c r="P16" i="16"/>
  <c r="BC15" i="16"/>
  <c r="BJ15" i="16"/>
  <c r="O15" i="16"/>
  <c r="BE25" i="15"/>
  <c r="BF25" i="15"/>
  <c r="BG25" i="15"/>
  <c r="BH25" i="15"/>
  <c r="BI25" i="15"/>
  <c r="BJ25" i="15"/>
  <c r="BF15" i="16"/>
  <c r="N15" i="16"/>
  <c r="P15" i="16"/>
  <c r="P26" i="16"/>
  <c r="P30" i="16"/>
  <c r="BG15" i="16"/>
  <c r="BJ17" i="16"/>
  <c r="BH15" i="16"/>
  <c r="BE22" i="16"/>
  <c r="BE21" i="16"/>
  <c r="BF22" i="16"/>
  <c r="BE15" i="16"/>
  <c r="BI15" i="16"/>
  <c r="BF21" i="16"/>
  <c r="BG22" i="16"/>
  <c r="BG21" i="16"/>
  <c r="BH22" i="16"/>
  <c r="BE17" i="16"/>
  <c r="BJ22" i="16"/>
  <c r="BF17" i="16"/>
  <c r="S90" i="15"/>
  <c r="S91" i="15"/>
  <c r="S92" i="15"/>
  <c r="S93" i="15"/>
  <c r="T93" i="15"/>
  <c r="BL88" i="15"/>
  <c r="BL89" i="15"/>
  <c r="BL90" i="15"/>
  <c r="BE91" i="15"/>
  <c r="BE92" i="15"/>
  <c r="R90" i="15"/>
  <c r="T90" i="15"/>
  <c r="R91" i="15"/>
  <c r="R92" i="15"/>
  <c r="R93" i="15"/>
  <c r="S89" i="15"/>
  <c r="R89" i="15"/>
  <c r="BE90" i="15"/>
  <c r="BE42" i="15"/>
  <c r="BE43" i="15"/>
  <c r="BE44" i="15"/>
  <c r="BE45" i="15"/>
  <c r="N18" i="15"/>
  <c r="N23" i="15"/>
  <c r="N24" i="15"/>
  <c r="N25" i="15"/>
  <c r="BJ18" i="15"/>
  <c r="BJ19" i="15"/>
  <c r="BJ20" i="15"/>
  <c r="BJ23" i="15"/>
  <c r="BJ24" i="15"/>
  <c r="BI18" i="15"/>
  <c r="BI19" i="15"/>
  <c r="BI20" i="15"/>
  <c r="BI23" i="15"/>
  <c r="BI24" i="15"/>
  <c r="BH19" i="15"/>
  <c r="BH20" i="15"/>
  <c r="BH23" i="15"/>
  <c r="BH24" i="15"/>
  <c r="BG19" i="15"/>
  <c r="BG20" i="15"/>
  <c r="BG23" i="15"/>
  <c r="BG24" i="15"/>
  <c r="T92" i="15"/>
  <c r="T91" i="15"/>
  <c r="T89" i="15"/>
  <c r="BE19" i="15"/>
  <c r="BE20" i="15"/>
  <c r="N20" i="15"/>
  <c r="BE23" i="15"/>
  <c r="BE24" i="15"/>
  <c r="BF19" i="15"/>
  <c r="N19" i="15"/>
  <c r="BF20" i="15"/>
  <c r="BF23" i="15"/>
  <c r="BF24" i="15"/>
  <c r="BK21" i="15"/>
  <c r="BK22" i="15"/>
  <c r="BK23" i="15"/>
  <c r="BK20" i="15"/>
  <c r="BC145" i="15"/>
  <c r="BC146" i="15"/>
  <c r="BC147" i="15"/>
  <c r="BC148" i="15"/>
  <c r="BC149" i="15"/>
  <c r="BC150" i="15"/>
  <c r="BC22" i="15"/>
  <c r="O22" i="15"/>
  <c r="BC21" i="15"/>
  <c r="BF21" i="15"/>
  <c r="O21" i="15"/>
  <c r="BC24" i="15"/>
  <c r="O24" i="15"/>
  <c r="BC23" i="15"/>
  <c r="O23" i="15"/>
  <c r="P23" i="15"/>
  <c r="G10" i="7"/>
  <c r="G9" i="7"/>
  <c r="G8" i="7"/>
  <c r="G7" i="7"/>
  <c r="G6" i="7"/>
  <c r="G5" i="7"/>
  <c r="G4" i="7"/>
  <c r="I34" i="7"/>
  <c r="BH21" i="15"/>
  <c r="BJ21" i="15"/>
  <c r="BH22" i="15"/>
  <c r="BJ22" i="15"/>
  <c r="BF22" i="15"/>
  <c r="P24" i="15"/>
  <c r="M182" i="16"/>
  <c r="M192" i="16"/>
  <c r="M19" i="7"/>
  <c r="X175" i="16"/>
  <c r="M191" i="16"/>
  <c r="M18" i="7"/>
  <c r="U164" i="16"/>
  <c r="U163" i="16"/>
  <c r="U162" i="16"/>
  <c r="U161" i="16"/>
  <c r="U160" i="16"/>
  <c r="U159" i="16"/>
  <c r="U158" i="16"/>
  <c r="BC150" i="16"/>
  <c r="J150" i="16"/>
  <c r="BC149" i="16"/>
  <c r="J149" i="16"/>
  <c r="BC148" i="16"/>
  <c r="J148" i="16"/>
  <c r="BC147" i="16"/>
  <c r="J147" i="16"/>
  <c r="BC146" i="16"/>
  <c r="J146" i="16"/>
  <c r="BC145" i="16"/>
  <c r="J145" i="16"/>
  <c r="R136" i="16"/>
  <c r="V136" i="16"/>
  <c r="R135" i="16"/>
  <c r="V135" i="16"/>
  <c r="R134" i="16"/>
  <c r="V134" i="16"/>
  <c r="R133" i="16"/>
  <c r="V133" i="16"/>
  <c r="R132" i="16"/>
  <c r="V132" i="16"/>
  <c r="R131" i="16"/>
  <c r="V131" i="16"/>
  <c r="R130" i="16"/>
  <c r="V130" i="16"/>
  <c r="R129" i="16"/>
  <c r="V129" i="16"/>
  <c r="R128" i="16"/>
  <c r="V128" i="16"/>
  <c r="R127" i="16"/>
  <c r="V127" i="16"/>
  <c r="BC118" i="16"/>
  <c r="BB118" i="16"/>
  <c r="W118" i="16"/>
  <c r="R118" i="16"/>
  <c r="BC117" i="16"/>
  <c r="BB117" i="16"/>
  <c r="W117" i="16"/>
  <c r="R117" i="16"/>
  <c r="BC116" i="16"/>
  <c r="BB116" i="16"/>
  <c r="W116" i="16"/>
  <c r="R116" i="16"/>
  <c r="BC115" i="16"/>
  <c r="BB115" i="16"/>
  <c r="W115" i="16"/>
  <c r="R115" i="16"/>
  <c r="BC114" i="16"/>
  <c r="BB114" i="16"/>
  <c r="W114" i="16"/>
  <c r="R114" i="16"/>
  <c r="BC113" i="16"/>
  <c r="BB113" i="16"/>
  <c r="W113" i="16"/>
  <c r="R113" i="16"/>
  <c r="X107" i="16"/>
  <c r="X106" i="16"/>
  <c r="X105" i="16"/>
  <c r="X104" i="16"/>
  <c r="X103" i="16"/>
  <c r="X102" i="16"/>
  <c r="BG80" i="16"/>
  <c r="BF80" i="16"/>
  <c r="BD80" i="16"/>
  <c r="BC80" i="16"/>
  <c r="BB80" i="16"/>
  <c r="T80" i="16"/>
  <c r="O80" i="16"/>
  <c r="BG79" i="16"/>
  <c r="BF79" i="16"/>
  <c r="BD79" i="16"/>
  <c r="BC79" i="16"/>
  <c r="BB79" i="16"/>
  <c r="T79" i="16"/>
  <c r="O79" i="16"/>
  <c r="BG78" i="16"/>
  <c r="BF78" i="16"/>
  <c r="BD78" i="16"/>
  <c r="BC78" i="16"/>
  <c r="BB78" i="16"/>
  <c r="T78" i="16"/>
  <c r="O78" i="16"/>
  <c r="BG77" i="16"/>
  <c r="BF77" i="16"/>
  <c r="BD77" i="16"/>
  <c r="BC77" i="16"/>
  <c r="BB77" i="16"/>
  <c r="T77" i="16"/>
  <c r="O77" i="16"/>
  <c r="BG76" i="16"/>
  <c r="R76" i="16"/>
  <c r="BF76" i="16"/>
  <c r="BD76" i="16"/>
  <c r="BC76" i="16"/>
  <c r="BB76" i="16"/>
  <c r="T76" i="16"/>
  <c r="O76" i="16"/>
  <c r="BG75" i="16"/>
  <c r="BF75" i="16"/>
  <c r="BD75" i="16"/>
  <c r="BC75" i="16"/>
  <c r="BB75" i="16"/>
  <c r="T75" i="16"/>
  <c r="O75" i="16"/>
  <c r="BG74" i="16"/>
  <c r="BF74" i="16"/>
  <c r="R74" i="16"/>
  <c r="BD74" i="16"/>
  <c r="BC74" i="16"/>
  <c r="BB74" i="16"/>
  <c r="T74" i="16"/>
  <c r="O74" i="16"/>
  <c r="BG73" i="16"/>
  <c r="BF73" i="16"/>
  <c r="BD73" i="16"/>
  <c r="BC73" i="16"/>
  <c r="BB73" i="16"/>
  <c r="T73" i="16"/>
  <c r="O73" i="16"/>
  <c r="BG72" i="16"/>
  <c r="BF72" i="16"/>
  <c r="BD72" i="16"/>
  <c r="BC72" i="16"/>
  <c r="BB72" i="16"/>
  <c r="T72" i="16"/>
  <c r="O72" i="16"/>
  <c r="BG71" i="16"/>
  <c r="BF71" i="16"/>
  <c r="BD71" i="16"/>
  <c r="BC71" i="16"/>
  <c r="BB71" i="16"/>
  <c r="T71" i="16"/>
  <c r="BG70" i="16"/>
  <c r="BF70" i="16"/>
  <c r="BD70" i="16"/>
  <c r="BC70" i="16"/>
  <c r="BB70" i="16"/>
  <c r="T70" i="16"/>
  <c r="BG69" i="16"/>
  <c r="BF69" i="16"/>
  <c r="BD69" i="16"/>
  <c r="BC69" i="16"/>
  <c r="BB69" i="16"/>
  <c r="T69" i="16"/>
  <c r="BF59" i="16"/>
  <c r="BE59" i="16"/>
  <c r="R59" i="16"/>
  <c r="N59" i="16"/>
  <c r="BF58" i="16"/>
  <c r="BE58" i="16"/>
  <c r="R58" i="16"/>
  <c r="N58" i="16"/>
  <c r="BF57" i="16"/>
  <c r="BE57" i="16"/>
  <c r="R57" i="16"/>
  <c r="N57" i="16"/>
  <c r="BF56" i="16"/>
  <c r="BE56" i="16"/>
  <c r="R56" i="16"/>
  <c r="N56" i="16"/>
  <c r="BF55" i="16"/>
  <c r="BE55" i="16"/>
  <c r="R55" i="16"/>
  <c r="N55" i="16"/>
  <c r="BF54" i="16"/>
  <c r="BE54" i="16"/>
  <c r="R54" i="16"/>
  <c r="N54" i="16"/>
  <c r="BF53" i="16"/>
  <c r="U53" i="16"/>
  <c r="BE53" i="16"/>
  <c r="R53" i="16"/>
  <c r="N53" i="16"/>
  <c r="BF52" i="16"/>
  <c r="BE52" i="16"/>
  <c r="R52" i="16"/>
  <c r="N52" i="16"/>
  <c r="R128" i="15"/>
  <c r="V128" i="15"/>
  <c r="R129" i="15"/>
  <c r="V129" i="15"/>
  <c r="R130" i="15"/>
  <c r="V130" i="15"/>
  <c r="R131" i="15"/>
  <c r="V131" i="15"/>
  <c r="R132" i="15"/>
  <c r="V132" i="15"/>
  <c r="R133" i="15"/>
  <c r="V133" i="15"/>
  <c r="R134" i="15"/>
  <c r="V134" i="15"/>
  <c r="R135" i="15"/>
  <c r="V135" i="15"/>
  <c r="R136" i="15"/>
  <c r="V136" i="15"/>
  <c r="R127" i="15"/>
  <c r="V127" i="15"/>
  <c r="W114" i="15"/>
  <c r="W115" i="15"/>
  <c r="W116" i="15"/>
  <c r="W117" i="15"/>
  <c r="W118" i="15"/>
  <c r="W113" i="15"/>
  <c r="BB114" i="15"/>
  <c r="BB115" i="15"/>
  <c r="BB116" i="15"/>
  <c r="BB117" i="15"/>
  <c r="BB118" i="15"/>
  <c r="BB113" i="15"/>
  <c r="BC114" i="15"/>
  <c r="BC115" i="15"/>
  <c r="BC116" i="15"/>
  <c r="BC117" i="15"/>
  <c r="BC118" i="15"/>
  <c r="BC113" i="15"/>
  <c r="R114" i="15"/>
  <c r="R115" i="15"/>
  <c r="R116" i="15"/>
  <c r="R117" i="15"/>
  <c r="R118" i="15"/>
  <c r="R113" i="15"/>
  <c r="BL87" i="15"/>
  <c r="BE89" i="15"/>
  <c r="BE88" i="15"/>
  <c r="BE87" i="15"/>
  <c r="BE86" i="15"/>
  <c r="BC19" i="15"/>
  <c r="O72" i="15"/>
  <c r="O73" i="15"/>
  <c r="O74" i="15"/>
  <c r="O75" i="15"/>
  <c r="O76" i="15"/>
  <c r="O77" i="15"/>
  <c r="O78" i="15"/>
  <c r="O79" i="15"/>
  <c r="O80" i="15"/>
  <c r="T75" i="15"/>
  <c r="T76" i="15"/>
  <c r="T77" i="15"/>
  <c r="T78" i="15"/>
  <c r="T79" i="15"/>
  <c r="T80" i="15"/>
  <c r="BD70" i="15"/>
  <c r="BD71" i="15"/>
  <c r="BD72" i="15"/>
  <c r="BD73" i="15"/>
  <c r="BD74" i="15"/>
  <c r="BD75" i="15"/>
  <c r="BD76" i="15"/>
  <c r="BD77" i="15"/>
  <c r="BD78" i="15"/>
  <c r="BD79" i="15"/>
  <c r="BD80" i="15"/>
  <c r="BD69" i="15"/>
  <c r="BC70" i="15"/>
  <c r="BC71" i="15"/>
  <c r="BC72" i="15"/>
  <c r="BC73" i="15"/>
  <c r="BC74" i="15"/>
  <c r="BC75" i="15"/>
  <c r="BC76" i="15"/>
  <c r="BC77" i="15"/>
  <c r="BC78" i="15"/>
  <c r="BC79" i="15"/>
  <c r="BC80" i="15"/>
  <c r="BC69" i="15"/>
  <c r="BB73" i="15"/>
  <c r="BB74" i="15"/>
  <c r="BB75" i="15"/>
  <c r="BB76" i="15"/>
  <c r="BB77" i="15"/>
  <c r="BB78" i="15"/>
  <c r="BB79" i="15"/>
  <c r="BB80" i="15"/>
  <c r="BB69" i="15"/>
  <c r="BB70" i="15"/>
  <c r="BB71" i="15"/>
  <c r="BB72" i="15"/>
  <c r="BG70" i="15"/>
  <c r="BI70" i="15"/>
  <c r="BG71" i="15"/>
  <c r="BI71" i="15"/>
  <c r="BG72" i="15"/>
  <c r="BI72" i="15"/>
  <c r="BG73" i="15"/>
  <c r="BI73" i="15"/>
  <c r="BG74" i="15"/>
  <c r="BI74" i="15"/>
  <c r="BG75" i="15"/>
  <c r="BI75" i="15"/>
  <c r="BG76" i="15"/>
  <c r="BI76" i="15"/>
  <c r="BG77" i="15"/>
  <c r="BI77" i="15"/>
  <c r="BG78" i="15"/>
  <c r="BI78" i="15"/>
  <c r="BG79" i="15"/>
  <c r="BI79" i="15"/>
  <c r="BG80" i="15"/>
  <c r="BI80" i="15"/>
  <c r="BI69" i="15"/>
  <c r="BG69" i="15"/>
  <c r="T74" i="15"/>
  <c r="T73" i="15"/>
  <c r="T72" i="15"/>
  <c r="T71" i="15"/>
  <c r="T70" i="15"/>
  <c r="T69" i="15"/>
  <c r="BE54" i="15"/>
  <c r="BG54" i="15"/>
  <c r="BE55" i="15"/>
  <c r="BG55" i="15"/>
  <c r="BE56" i="15"/>
  <c r="BG56" i="15"/>
  <c r="BE57" i="15"/>
  <c r="BG57" i="15"/>
  <c r="BE58" i="15"/>
  <c r="BG58" i="15"/>
  <c r="BE59" i="15"/>
  <c r="BG59" i="15"/>
  <c r="N56" i="15"/>
  <c r="R56" i="15"/>
  <c r="N57" i="15"/>
  <c r="R57" i="15"/>
  <c r="N58" i="15"/>
  <c r="R58" i="15"/>
  <c r="N59" i="15"/>
  <c r="R59" i="15"/>
  <c r="R54" i="15"/>
  <c r="R55" i="15"/>
  <c r="N54" i="15"/>
  <c r="N55" i="15"/>
  <c r="BE53" i="15"/>
  <c r="BG53" i="15"/>
  <c r="BG52" i="15"/>
  <c r="BE52" i="15"/>
  <c r="N53" i="15"/>
  <c r="N52" i="15"/>
  <c r="BC42" i="15"/>
  <c r="BC43" i="15"/>
  <c r="BC44" i="15"/>
  <c r="BC45" i="15"/>
  <c r="S41" i="15"/>
  <c r="R42" i="15"/>
  <c r="S42" i="15"/>
  <c r="R43" i="15"/>
  <c r="S43" i="15"/>
  <c r="R44" i="15"/>
  <c r="S44" i="15"/>
  <c r="R45" i="15"/>
  <c r="S45" i="15"/>
  <c r="BE39" i="15"/>
  <c r="R39" i="15"/>
  <c r="BC40" i="15"/>
  <c r="BC41" i="15"/>
  <c r="BC39" i="15"/>
  <c r="P29" i="15"/>
  <c r="P28" i="15"/>
  <c r="P27" i="15"/>
  <c r="BK17" i="15"/>
  <c r="BK18" i="15"/>
  <c r="BK19" i="15"/>
  <c r="BK16" i="15"/>
  <c r="BC16" i="15"/>
  <c r="BH16" i="15" s="1"/>
  <c r="BC17" i="15"/>
  <c r="BC18" i="15"/>
  <c r="BC20" i="15"/>
  <c r="BC25" i="15"/>
  <c r="BC15" i="15"/>
  <c r="O16" i="15"/>
  <c r="O17" i="15"/>
  <c r="O18" i="15"/>
  <c r="O19" i="15"/>
  <c r="O20" i="15"/>
  <c r="O25" i="15"/>
  <c r="O15" i="15"/>
  <c r="M182" i="15"/>
  <c r="M192" i="15"/>
  <c r="L19" i="7"/>
  <c r="X175" i="15"/>
  <c r="M191" i="15"/>
  <c r="L18" i="7"/>
  <c r="U164" i="15"/>
  <c r="U163" i="15"/>
  <c r="U162" i="15"/>
  <c r="U161" i="15"/>
  <c r="U160" i="15"/>
  <c r="U159" i="15"/>
  <c r="U158" i="15"/>
  <c r="J150" i="15"/>
  <c r="J149" i="15"/>
  <c r="J148" i="15"/>
  <c r="J147" i="15"/>
  <c r="J146" i="15"/>
  <c r="J145" i="15"/>
  <c r="X107" i="15"/>
  <c r="X106" i="15"/>
  <c r="X105" i="15"/>
  <c r="X104" i="15"/>
  <c r="X103" i="15"/>
  <c r="X102" i="15"/>
  <c r="R53" i="15"/>
  <c r="R52" i="15"/>
  <c r="W45" i="15"/>
  <c r="V45" i="15"/>
  <c r="W44" i="15"/>
  <c r="V44" i="15"/>
  <c r="W43" i="15"/>
  <c r="V43" i="15"/>
  <c r="W42" i="15"/>
  <c r="V42" i="15"/>
  <c r="W41" i="15"/>
  <c r="V41" i="15"/>
  <c r="W40" i="15"/>
  <c r="V40" i="15"/>
  <c r="S40" i="15"/>
  <c r="W39" i="15"/>
  <c r="V39" i="15"/>
  <c r="S39" i="15"/>
  <c r="BI22" i="15"/>
  <c r="N22" i="15"/>
  <c r="P22" i="15"/>
  <c r="BE22" i="15"/>
  <c r="BJ15" i="15"/>
  <c r="BG15" i="15"/>
  <c r="N15" i="15" s="1"/>
  <c r="P15" i="15" s="1"/>
  <c r="BH15" i="15"/>
  <c r="BI15" i="15"/>
  <c r="BF15" i="15"/>
  <c r="BE15" i="15"/>
  <c r="BG22" i="15"/>
  <c r="BE21" i="15"/>
  <c r="BE41" i="15"/>
  <c r="R41" i="15"/>
  <c r="X41" i="15"/>
  <c r="BI21" i="15"/>
  <c r="N21" i="15"/>
  <c r="P21" i="15"/>
  <c r="BE40" i="15"/>
  <c r="R40" i="15"/>
  <c r="X40" i="15"/>
  <c r="BG21" i="15"/>
  <c r="BI17" i="15"/>
  <c r="BJ17" i="15"/>
  <c r="BG18" i="15"/>
  <c r="BH18" i="15"/>
  <c r="BE18" i="15"/>
  <c r="BF18" i="15"/>
  <c r="BG17" i="15"/>
  <c r="BH17" i="15"/>
  <c r="BE17" i="15"/>
  <c r="BF17" i="15"/>
  <c r="R71" i="16"/>
  <c r="U59" i="16"/>
  <c r="U147" i="16"/>
  <c r="U57" i="16"/>
  <c r="O69" i="16"/>
  <c r="O71" i="16"/>
  <c r="U71" i="16"/>
  <c r="R79" i="16"/>
  <c r="U79" i="16"/>
  <c r="U114" i="16"/>
  <c r="U117" i="16"/>
  <c r="U149" i="16"/>
  <c r="U76" i="16"/>
  <c r="U55" i="16"/>
  <c r="R78" i="16"/>
  <c r="U78" i="16"/>
  <c r="X108" i="16"/>
  <c r="R73" i="16"/>
  <c r="U165" i="16"/>
  <c r="M190" i="16"/>
  <c r="M17" i="7"/>
  <c r="W59" i="16"/>
  <c r="O70" i="16"/>
  <c r="X113" i="16"/>
  <c r="X116" i="16"/>
  <c r="V137" i="16"/>
  <c r="U150" i="16"/>
  <c r="U145" i="16"/>
  <c r="U56" i="16"/>
  <c r="W56" i="16"/>
  <c r="W57" i="16"/>
  <c r="R70" i="16"/>
  <c r="U70" i="16"/>
  <c r="R77" i="16"/>
  <c r="X114" i="16"/>
  <c r="X117" i="16"/>
  <c r="U146" i="16"/>
  <c r="U77" i="16"/>
  <c r="R75" i="16"/>
  <c r="U75" i="16"/>
  <c r="U54" i="16"/>
  <c r="W54" i="16"/>
  <c r="R72" i="16"/>
  <c r="U72" i="16"/>
  <c r="R80" i="16"/>
  <c r="U80" i="16"/>
  <c r="W55" i="16"/>
  <c r="U74" i="16"/>
  <c r="U148" i="16"/>
  <c r="U58" i="16"/>
  <c r="W58" i="16"/>
  <c r="U52" i="16"/>
  <c r="W52" i="16"/>
  <c r="W53" i="16"/>
  <c r="R69" i="16"/>
  <c r="U115" i="16"/>
  <c r="X115" i="16"/>
  <c r="U118" i="16"/>
  <c r="X118" i="16"/>
  <c r="U69" i="16"/>
  <c r="U73" i="16"/>
  <c r="U114" i="15"/>
  <c r="X114" i="15"/>
  <c r="U118" i="15"/>
  <c r="X118" i="15"/>
  <c r="U117" i="15"/>
  <c r="X117" i="15"/>
  <c r="X116" i="15"/>
  <c r="U115" i="15"/>
  <c r="X115" i="15"/>
  <c r="X113" i="15"/>
  <c r="R80" i="15"/>
  <c r="U80" i="15"/>
  <c r="R74" i="15"/>
  <c r="U74" i="15"/>
  <c r="R71" i="15"/>
  <c r="R70" i="15"/>
  <c r="R69" i="15"/>
  <c r="O70" i="15"/>
  <c r="R78" i="15"/>
  <c r="U78" i="15"/>
  <c r="R72" i="15"/>
  <c r="U72" i="15"/>
  <c r="O71" i="15"/>
  <c r="R73" i="15"/>
  <c r="U73" i="15"/>
  <c r="R76" i="15"/>
  <c r="U76" i="15"/>
  <c r="R79" i="15"/>
  <c r="U79" i="15"/>
  <c r="R77" i="15"/>
  <c r="U77" i="15"/>
  <c r="R75" i="15"/>
  <c r="U75" i="15"/>
  <c r="O69" i="15"/>
  <c r="U54" i="15"/>
  <c r="W54" i="15"/>
  <c r="U55" i="15"/>
  <c r="W55" i="15"/>
  <c r="U59" i="15"/>
  <c r="W59" i="15"/>
  <c r="U58" i="15"/>
  <c r="W58" i="15"/>
  <c r="U57" i="15"/>
  <c r="W57" i="15"/>
  <c r="U56" i="15"/>
  <c r="W56" i="15"/>
  <c r="U53" i="15"/>
  <c r="W53" i="15"/>
  <c r="U52" i="15"/>
  <c r="W52" i="15"/>
  <c r="X39" i="15"/>
  <c r="P18" i="15"/>
  <c r="P25" i="15"/>
  <c r="U145" i="15"/>
  <c r="U149" i="15"/>
  <c r="U150" i="15"/>
  <c r="V137" i="15"/>
  <c r="X43" i="15"/>
  <c r="X108" i="15"/>
  <c r="U148" i="15"/>
  <c r="X42" i="15"/>
  <c r="X44" i="15"/>
  <c r="U147" i="15"/>
  <c r="U146" i="15"/>
  <c r="X45" i="15"/>
  <c r="U165" i="15"/>
  <c r="M190" i="15"/>
  <c r="L17" i="7"/>
  <c r="T94" i="15"/>
  <c r="N17" i="15"/>
  <c r="P17" i="15"/>
  <c r="P19" i="15"/>
  <c r="P20" i="15"/>
  <c r="X46" i="16"/>
  <c r="U151" i="16"/>
  <c r="M189" i="16"/>
  <c r="M16" i="7"/>
  <c r="W60" i="16"/>
  <c r="X119" i="16"/>
  <c r="M188" i="16"/>
  <c r="M15" i="7"/>
  <c r="U81" i="16"/>
  <c r="U69" i="15"/>
  <c r="U70" i="15"/>
  <c r="X119" i="15"/>
  <c r="M188" i="15"/>
  <c r="L15" i="7"/>
  <c r="U71" i="15"/>
  <c r="W60" i="15"/>
  <c r="X46" i="15"/>
  <c r="U151" i="15"/>
  <c r="M189" i="15"/>
  <c r="L16" i="7"/>
  <c r="N17" i="7"/>
  <c r="O17" i="7"/>
  <c r="N18" i="7"/>
  <c r="O18" i="7"/>
  <c r="N19" i="7"/>
  <c r="O19" i="7"/>
  <c r="N15" i="7"/>
  <c r="O15" i="7"/>
  <c r="U81" i="15"/>
  <c r="M187" i="16"/>
  <c r="M14" i="7"/>
  <c r="N16" i="7"/>
  <c r="O16" i="7"/>
  <c r="D187" i="16"/>
  <c r="M20" i="7"/>
  <c r="M193" i="16"/>
  <c r="BF16" i="15" l="1"/>
  <c r="BI16" i="15"/>
  <c r="BG16" i="15"/>
  <c r="BE16" i="15"/>
  <c r="BJ16" i="15"/>
  <c r="N16" i="15" l="1"/>
  <c r="P16" i="15" s="1"/>
  <c r="P26" i="15" s="1"/>
  <c r="P30" i="15" s="1"/>
  <c r="M187" i="15" s="1"/>
  <c r="D187" i="15" l="1"/>
  <c r="L14" i="7"/>
  <c r="N14" i="7" s="1"/>
  <c r="N20" i="7" s="1"/>
  <c r="M193" i="15"/>
  <c r="L20" i="7"/>
  <c r="O14" i="7" l="1"/>
  <c r="O20" i="7" s="1"/>
  <c r="D1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Raktai</author>
    <author>PYU_Journal</author>
  </authors>
  <commentList>
    <comment ref="S5" authorId="0" shapeId="0" xr:uid="{81BE0917-B993-4D6A-B30B-CB66CD2EA634}">
      <text>
        <r>
          <rPr>
            <sz val="9"/>
            <color indexed="81"/>
            <rFont val="Tahoma"/>
            <family val="2"/>
          </rPr>
          <t>เลือกจาก list โดย click ที่ลูกศรชี้ลง</t>
        </r>
      </text>
    </comment>
    <comment ref="S6" authorId="0" shapeId="0" xr:uid="{595E5155-66E7-4E32-8931-01F124000534}">
      <text>
        <r>
          <rPr>
            <sz val="9"/>
            <color indexed="81"/>
            <rFont val="Tahoma"/>
            <family val="2"/>
          </rPr>
          <t>เลือกจาก list โดย click ที่ลูกศรชี้ลง</t>
        </r>
      </text>
    </comment>
    <comment ref="W98" authorId="0" shapeId="0" xr:uid="{6DB2AAE3-5E6B-4149-B87B-C3E54DC5FC85}">
      <text>
        <r>
          <rPr>
            <sz val="9"/>
            <color indexed="81"/>
            <rFont val="Tahoma"/>
            <family val="2"/>
          </rPr>
          <t>คิด 3 ภาระงาน/สัปดาห์/โครงการ</t>
        </r>
      </text>
    </comment>
    <comment ref="J100" authorId="0" shapeId="0" xr:uid="{4FADE23E-1738-4229-982B-A19580C27BB7}">
      <text>
        <r>
          <rPr>
            <sz val="9"/>
            <color indexed="81"/>
            <rFont val="Tahoma"/>
            <family val="2"/>
          </rPr>
          <t>12 ภาระงาน/สัปดาห์</t>
        </r>
      </text>
    </comment>
    <comment ref="K100" authorId="0" shapeId="0" xr:uid="{98320B78-6BFD-4041-9A4B-72964E7200E3}">
      <text>
        <r>
          <rPr>
            <b/>
            <sz val="9"/>
            <color indexed="81"/>
            <rFont val="Tahoma"/>
            <family val="2"/>
          </rPr>
          <t>10 ภาระงาน/สัปดาห์</t>
        </r>
      </text>
    </comment>
    <comment ref="L100" authorId="0" shapeId="0" xr:uid="{9EAEB221-B6D1-461A-91F3-1C866C2A7EDD}">
      <text>
        <r>
          <rPr>
            <sz val="9"/>
            <color indexed="81"/>
            <rFont val="Tahoma"/>
            <family val="2"/>
          </rPr>
          <t>8 ภาระงาน/สัปดาห์</t>
        </r>
      </text>
    </comment>
    <comment ref="M100" authorId="0" shapeId="0" xr:uid="{C594D5E1-7214-425E-BA69-DBB9A5F32EA3}">
      <text>
        <r>
          <rPr>
            <b/>
            <sz val="9"/>
            <color indexed="81"/>
            <rFont val="Tahoma"/>
            <family val="2"/>
          </rPr>
          <t>7 ภารกิจ/สัปดาห์</t>
        </r>
      </text>
    </comment>
    <comment ref="N100" authorId="0" shapeId="0" xr:uid="{0B7D336C-0687-4549-84B2-D3A04319A55B}">
      <text>
        <r>
          <rPr>
            <b/>
            <sz val="9"/>
            <color indexed="81"/>
            <rFont val="Tahoma"/>
            <family val="2"/>
          </rPr>
          <t>5 ภาระงาน/สัปดาห์</t>
        </r>
      </text>
    </comment>
    <comment ref="O100" authorId="0" shapeId="0" xr:uid="{C5E8AE05-719C-4745-A328-78BFAC812D26}">
      <text>
        <r>
          <rPr>
            <b/>
            <sz val="9"/>
            <color indexed="81"/>
            <rFont val="Tahoma"/>
            <family val="2"/>
          </rPr>
          <t>3 ภาระงาน/สัปดาห์</t>
        </r>
      </text>
    </comment>
    <comment ref="P100" authorId="0" shapeId="0" xr:uid="{3BBCA0C5-2413-4FB7-A54F-2D2A30907719}">
      <text>
        <r>
          <rPr>
            <b/>
            <sz val="9"/>
            <color indexed="81"/>
            <rFont val="Tahoma"/>
            <family val="2"/>
          </rPr>
          <t>2 ภาระงาน/สัปดาห์</t>
        </r>
      </text>
    </comment>
    <comment ref="Q100" authorId="0" shapeId="0" xr:uid="{DB1789E2-F5A8-4843-9DFA-959A5A672C24}">
      <text>
        <r>
          <rPr>
            <b/>
            <sz val="9"/>
            <color indexed="81"/>
            <rFont val="Tahoma"/>
            <family val="2"/>
          </rPr>
          <t>1 ภาระงาน/สัปดาห์</t>
        </r>
      </text>
    </comment>
    <comment ref="R101" authorId="0" shapeId="0" xr:uid="{5F48A021-84E6-46BD-8A2C-3632C83C7368}">
      <text>
        <r>
          <rPr>
            <sz val="9"/>
            <color indexed="81"/>
            <rFont val="Tahoma"/>
            <family val="2"/>
          </rPr>
          <t>7 ภาระงาน/สัปดาห์</t>
        </r>
      </text>
    </comment>
    <comment ref="S101" authorId="0" shapeId="0" xr:uid="{CAEE112A-DDCA-458C-9708-165E17F948C3}">
      <text>
        <r>
          <rPr>
            <sz val="9"/>
            <color indexed="81"/>
            <rFont val="Tahoma"/>
            <family val="2"/>
          </rPr>
          <t>5 ภาระงาน/สัปดาห์</t>
        </r>
      </text>
    </comment>
    <comment ref="T101" authorId="0" shapeId="0" xr:uid="{3A645B02-D9B8-4E7B-ABBF-B94BAEF52EA1}">
      <text>
        <r>
          <rPr>
            <sz val="9"/>
            <color indexed="81"/>
            <rFont val="Tahoma"/>
            <family val="2"/>
          </rPr>
          <t>3 ภาระงาน/สัปดาห์</t>
        </r>
      </text>
    </comment>
    <comment ref="U101" authorId="0" shapeId="0" xr:uid="{46EBF8BF-D27D-4FDB-A349-7F886809591B}">
      <text>
        <r>
          <rPr>
            <sz val="9"/>
            <color indexed="81"/>
            <rFont val="Tahoma"/>
            <family val="2"/>
          </rPr>
          <t>2 ภาระงาน/สัปดาห์</t>
        </r>
      </text>
    </comment>
    <comment ref="V101" authorId="0" shapeId="0" xr:uid="{804DD925-4958-49C1-B2CC-A9EEA4BC4ABF}">
      <text>
        <r>
          <rPr>
            <sz val="9"/>
            <color indexed="81"/>
            <rFont val="Tahoma"/>
            <family val="2"/>
          </rPr>
          <t>1 ภาระงาน/สัปดาห์</t>
        </r>
      </text>
    </comment>
    <comment ref="M143" authorId="0" shapeId="0" xr:uid="{89674509-34D5-492E-88E4-754332DC47BD}">
      <text>
        <r>
          <rPr>
            <sz val="9"/>
            <color indexed="81"/>
            <rFont val="Tahoma"/>
            <family val="2"/>
          </rPr>
          <t>12 ภาระงาน/สัปดาห์</t>
        </r>
      </text>
    </comment>
    <comment ref="N143" authorId="0" shapeId="0" xr:uid="{007E26D1-106E-4760-ADA2-467F23A45502}">
      <text>
        <r>
          <rPr>
            <sz val="9"/>
            <color indexed="81"/>
            <rFont val="Tahoma"/>
            <family val="2"/>
          </rPr>
          <t>10 ภาระงาน/สัปดาห์</t>
        </r>
      </text>
    </comment>
    <comment ref="O143" authorId="0" shapeId="0" xr:uid="{CDA499C6-E4C4-46FF-BEBD-F5B15D638000}">
      <text>
        <r>
          <rPr>
            <sz val="9"/>
            <color indexed="81"/>
            <rFont val="Tahoma"/>
            <family val="2"/>
          </rPr>
          <t>8 ภาระงาน/สัปดาห์</t>
        </r>
      </text>
    </comment>
    <comment ref="P143" authorId="0" shapeId="0" xr:uid="{A42FB197-5A20-4BA8-A69C-1BEE781722EB}">
      <text>
        <r>
          <rPr>
            <sz val="9"/>
            <color indexed="81"/>
            <rFont val="Tahoma"/>
            <family val="2"/>
          </rPr>
          <t>7 ภาระงาน/สัปดาห์</t>
        </r>
      </text>
    </comment>
    <comment ref="Q143" authorId="0" shapeId="0" xr:uid="{4E16F3C8-DE24-4160-8B91-F6495E4D7F81}">
      <text>
        <r>
          <rPr>
            <sz val="9"/>
            <color indexed="81"/>
            <rFont val="Tahoma"/>
            <family val="2"/>
          </rPr>
          <t>5 ภาระงาน/สัปดาห์</t>
        </r>
      </text>
    </comment>
    <comment ref="R143" authorId="0" shapeId="0" xr:uid="{274C6CFF-9FFC-4093-8D2F-4688C0083727}">
      <text>
        <r>
          <rPr>
            <sz val="9"/>
            <color indexed="81"/>
            <rFont val="Tahoma"/>
            <family val="2"/>
          </rPr>
          <t>3 ภาระงาน/สัปดาห์</t>
        </r>
      </text>
    </comment>
    <comment ref="S143" authorId="0" shapeId="0" xr:uid="{6AC38921-2711-4BB8-9C9A-E4EAF078146E}">
      <text>
        <r>
          <rPr>
            <sz val="9"/>
            <color indexed="81"/>
            <rFont val="Tahoma"/>
            <family val="2"/>
          </rPr>
          <t>2 ภาระงาน/สัปดาห์</t>
        </r>
      </text>
    </comment>
    <comment ref="T143" authorId="0" shapeId="0" xr:uid="{A27171DB-1822-4AC3-A4EB-50FA3F7B5030}">
      <text>
        <r>
          <rPr>
            <sz val="9"/>
            <color indexed="81"/>
            <rFont val="Tahoma"/>
            <family val="2"/>
          </rPr>
          <t>1 ภาระงาน/สัปดาห์</t>
        </r>
      </text>
    </comment>
    <comment ref="K157" authorId="0" shapeId="0" xr:uid="{A28ACAA3-2929-4686-A33B-51FC591C8BA6}">
      <text>
        <r>
          <rPr>
            <sz val="9"/>
            <color indexed="81"/>
            <rFont val="Tahoma"/>
            <family val="2"/>
          </rPr>
          <t>การเป็นหัวหน้า/ผู้รับผิดชอบหลัก/เลขานุการโครงการ (2 ภาระงาน/สัปดาห์/โครงการ)</t>
        </r>
      </text>
    </comment>
    <comment ref="L157" authorId="0" shapeId="0" xr:uid="{BBC5C9D5-1407-4ECE-881B-9F053DD6CDC4}">
      <text>
        <r>
          <rPr>
            <sz val="9"/>
            <color indexed="81"/>
            <rFont val="Tahoma"/>
            <family val="2"/>
          </rPr>
          <t>การเป็นผู้รับผิดชอบร่วม/คณะทำงาน (1 ภาระงาน/สัปดาห์/โครงการ)</t>
        </r>
      </text>
    </comment>
    <comment ref="M157" authorId="0" shapeId="0" xr:uid="{A734F06B-BBB2-4006-B8C4-3546339D1E17}">
      <text>
        <r>
          <rPr>
            <sz val="9"/>
            <color indexed="81"/>
            <rFont val="Tahoma"/>
            <family val="2"/>
          </rPr>
          <t>การเป็นผู้เข้าร่วมกิจกรรม (0.2 ภารกิจ/สัปดาห์/โครงการ)</t>
        </r>
      </text>
    </comment>
    <comment ref="N157" authorId="0" shapeId="0" xr:uid="{15FF18DE-31D2-4FC6-BB58-4BFD04301182}">
      <text>
        <r>
          <rPr>
            <sz val="9"/>
            <color indexed="81"/>
            <rFont val="Tahoma"/>
            <family val="2"/>
          </rPr>
          <t>การเป็นหัวหน้า/ผู้รับผิดชอบหลัก/เลขานุการโครงการ (2 ภาระงาน/สัปดาห์/โครงการ)</t>
        </r>
      </text>
    </comment>
    <comment ref="O157" authorId="0" shapeId="0" xr:uid="{676CA068-FC97-480D-B9B8-11F28D86602D}">
      <text>
        <r>
          <rPr>
            <sz val="9"/>
            <color indexed="81"/>
            <rFont val="Tahoma"/>
            <family val="2"/>
          </rPr>
          <t>การเป็นผู้รับผิดชอบร่วม/คณะทำงาน (1 ภาระงาน/สัปดาห์/โครงการ)</t>
        </r>
      </text>
    </comment>
    <comment ref="P157" authorId="1" shapeId="0" xr:uid="{3893C3C3-5680-4797-92C7-68C4DCA83F9C}">
      <text>
        <r>
          <rPr>
            <sz val="9"/>
            <color indexed="81"/>
            <rFont val="Tahoma"/>
            <family val="2"/>
          </rPr>
          <t>การเป็นผู้เข้าร่วมโครงการ (0.2 ภารกิจ/สัปดาห์/โครงการ)</t>
        </r>
      </text>
    </comment>
    <comment ref="Q157" authorId="1" shapeId="0" xr:uid="{7A01E98B-D3CD-4BE4-823F-2EB5E26A423F}">
      <text>
        <r>
          <rPr>
            <sz val="9"/>
            <color indexed="81"/>
            <rFont val="Tahoma"/>
            <family val="2"/>
          </rPr>
          <t>นักศึกษาปริญญาตรี และปริญญาโทและปริญญาเอก (2 ภาระงาน/สัปดาห์/ภาคการศึกษา)</t>
        </r>
      </text>
    </comment>
    <comment ref="R157" authorId="1" shapeId="0" xr:uid="{42B3165A-D0F1-42A6-9E2F-F71A2CAD616B}">
      <text>
        <r>
          <rPr>
            <sz val="9"/>
            <color indexed="81"/>
            <rFont val="Tahoma"/>
            <family val="2"/>
          </rPr>
          <t>สโมสรนักศึกษาของมหาวิทยาลัย / คณะ (1 ภาระงาน/สัปดาห์/ภาคการศึกษา)</t>
        </r>
      </text>
    </comment>
    <comment ref="S157" authorId="1" shapeId="0" xr:uid="{8DB530E9-18B0-48F9-93F1-7F4EB3651166}">
      <text>
        <r>
          <rPr>
            <sz val="9"/>
            <color indexed="81"/>
            <rFont val="Tahoma"/>
            <family val="2"/>
          </rPr>
          <t>ชมรมหรือโครงการ (0.5 ภาระงาน/สัปดาห์/ภาคการศึกษา)</t>
        </r>
      </text>
    </comment>
    <comment ref="D169" authorId="0" shapeId="0" xr:uid="{F287958E-0E29-4AA5-BD6D-F170DF814DA4}">
      <text>
        <r>
          <rPr>
            <sz val="9"/>
            <color indexed="81"/>
            <rFont val="Tahoma"/>
            <family val="2"/>
          </rPr>
          <t>ระบุว่าเป็น คำสั่งหรือประกาศ สภามหาวิทยาลั / มหาวิทยาลัย / ฝ่ายฯ / คณะวิชาหรือวิทยาลัย</t>
        </r>
      </text>
    </comment>
    <comment ref="F169" authorId="0" shapeId="0" xr:uid="{FE43967D-30D4-45DD-8FCD-089FD732130E}">
      <text>
        <r>
          <rPr>
            <sz val="9"/>
            <color indexed="81"/>
            <rFont val="Tahoma"/>
            <family val="2"/>
          </rPr>
          <t>ระบุเลขที่คำสั่ง/ประกาศ (ถ้ามี)</t>
        </r>
      </text>
    </comment>
    <comment ref="P169" authorId="0" shapeId="0" xr:uid="{A70AF8B3-A0E6-4514-BFDA-AC1D5BE028EC}">
      <text>
        <r>
          <rPr>
            <sz val="9"/>
            <color indexed="81"/>
            <rFont val="Tahoma"/>
            <family val="2"/>
          </rPr>
          <t>ภาระงานที่ได้รับมอบหมายจากสภามหาวิทยาลัย/ มหาวิทยาลัย</t>
        </r>
      </text>
    </comment>
    <comment ref="Q169" authorId="0" shapeId="0" xr:uid="{2A77A2A2-0C13-4694-B686-165D46D70F9D}">
      <text>
        <r>
          <rPr>
            <sz val="9"/>
            <color indexed="81"/>
            <rFont val="Tahoma"/>
            <family val="2"/>
          </rPr>
          <t>ประธานวิชา/ ผู้ประสานงานวิชา
(1 ภาระงาน / สัปดาห์)</t>
        </r>
      </text>
    </comment>
    <comment ref="R169" authorId="0" shapeId="0" xr:uid="{7AB6E76B-5C50-432E-B70A-07F17046192D}">
      <text>
        <r>
          <rPr>
            <sz val="9"/>
            <color indexed="81"/>
            <rFont val="Tahoma"/>
            <family val="2"/>
          </rPr>
          <t>- คณะกรรมการบริหารประจำหลักสูตร 5 ภาระงาน / สัปดาห์
- กรณีเป็นอาจารย์ผู้รับผิดชอบหลักสูตรโดยไม่ได้เป็นกรรมการบริการประจำหลักสูตร 2 ภาระงาน / สัปดาห์</t>
        </r>
      </text>
    </comment>
    <comment ref="S169" authorId="1" shapeId="0" xr:uid="{281C89CD-AAB1-455E-B0F0-4EC228287CDA}">
      <text>
        <r>
          <rPr>
            <sz val="9"/>
            <color indexed="81"/>
            <rFont val="Tahoma"/>
            <family val="2"/>
          </rPr>
          <t xml:space="preserve">คณะกรรมการอื่นที่แต่งตั้งโดยคณะวิชา/ ฝ่ายต่าง ๆ </t>
        </r>
      </text>
    </comment>
    <comment ref="T169" authorId="1" shapeId="0" xr:uid="{B9164698-B0C4-4A03-9D4B-DFAC26E90FEA}">
      <text>
        <r>
          <rPr>
            <sz val="9"/>
            <color indexed="81"/>
            <rFont val="Tahoma"/>
            <family val="2"/>
          </rPr>
          <t>คณะกรรมการประกันคุณภาพการศึกษา</t>
        </r>
      </text>
    </comment>
    <comment ref="U169" authorId="1" shapeId="0" xr:uid="{D057A46D-1F6A-4851-93C2-4D4867363DAC}">
      <text>
        <r>
          <rPr>
            <sz val="9"/>
            <color indexed="81"/>
            <rFont val="Tahoma"/>
            <family val="2"/>
          </rPr>
          <t xml:space="preserve">ภาระงานที่ได้รับมอบหมายให้เป็นผู้ประเมินคุณภาพภายใน   </t>
        </r>
      </text>
    </comment>
    <comment ref="V169" authorId="1" shapeId="0" xr:uid="{B3DCC480-BCB0-44EB-896D-80BE315AEEF5}">
      <text>
        <r>
          <rPr>
            <sz val="9"/>
            <color indexed="81"/>
            <rFont val="Tahoma"/>
            <family val="2"/>
          </rPr>
          <t>คณะกรรมการจริยธรรมการวิจัยในคน</t>
        </r>
      </text>
    </comment>
    <comment ref="W169" authorId="1" shapeId="0" xr:uid="{7ACFF6B3-2F76-4F87-8887-BEE66E1C4CCF}">
      <text>
        <r>
          <rPr>
            <sz val="9"/>
            <color indexed="81"/>
            <rFont val="Tahoma"/>
            <family val="2"/>
          </rPr>
          <t>การเป็นผู้ที่ได้รับแต่งตั้ง/มอบหมายโดยมหาวิทยาลัยให้รับผิดชอบงานอื่นที่มิใช่งานสอน โดยไม่มีตำแหน่งบริหาร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Raktai</author>
    <author>PYU_Journal</author>
  </authors>
  <commentList>
    <comment ref="S5" authorId="0" shapeId="0" xr:uid="{D4B06940-45FC-4262-A1F5-E5AE37C96F80}">
      <text>
        <r>
          <rPr>
            <sz val="9"/>
            <color indexed="81"/>
            <rFont val="Tahoma"/>
            <family val="2"/>
          </rPr>
          <t>เลือกจาก list โดย click ที่ลูกศรชี้ลง</t>
        </r>
      </text>
    </comment>
    <comment ref="S6" authorId="0" shapeId="0" xr:uid="{42448C92-8102-4299-A1A6-1A3A25FDF506}">
      <text>
        <r>
          <rPr>
            <sz val="9"/>
            <color indexed="81"/>
            <rFont val="Tahoma"/>
            <family val="2"/>
          </rPr>
          <t>เลือกจาก list โดย click ที่ลูกศรชี้ลง</t>
        </r>
      </text>
    </comment>
    <comment ref="W98" authorId="0" shapeId="0" xr:uid="{66A83CCA-9850-4C5F-A96A-D786FA7E7424}">
      <text>
        <r>
          <rPr>
            <sz val="9"/>
            <color indexed="81"/>
            <rFont val="Tahoma"/>
            <family val="2"/>
          </rPr>
          <t>คิด 3 ภาระงาน/สัปดาห์/โครงการ</t>
        </r>
      </text>
    </comment>
    <comment ref="J100" authorId="0" shapeId="0" xr:uid="{C6CB0C18-86F4-4090-8547-4F0064661140}">
      <text>
        <r>
          <rPr>
            <sz val="9"/>
            <color indexed="81"/>
            <rFont val="Tahoma"/>
            <family val="2"/>
          </rPr>
          <t>12 ภาระงาน/สัปดาห์</t>
        </r>
      </text>
    </comment>
    <comment ref="K100" authorId="0" shapeId="0" xr:uid="{953B64D0-1B65-460B-8BE1-DAACFDF3C75E}">
      <text>
        <r>
          <rPr>
            <b/>
            <sz val="9"/>
            <color indexed="81"/>
            <rFont val="Tahoma"/>
            <family val="2"/>
          </rPr>
          <t>10 ภาระงาน/สัปดาห์</t>
        </r>
      </text>
    </comment>
    <comment ref="L100" authorId="0" shapeId="0" xr:uid="{F1A3982C-E5B2-437A-9390-F0B15FA12549}">
      <text>
        <r>
          <rPr>
            <sz val="9"/>
            <color indexed="81"/>
            <rFont val="Tahoma"/>
            <family val="2"/>
          </rPr>
          <t>8 ภาระงาน/สัปดาห์</t>
        </r>
      </text>
    </comment>
    <comment ref="M100" authorId="0" shapeId="0" xr:uid="{A84643D6-BFAA-489B-85D6-1C1E96187027}">
      <text>
        <r>
          <rPr>
            <b/>
            <sz val="9"/>
            <color indexed="81"/>
            <rFont val="Tahoma"/>
            <family val="2"/>
          </rPr>
          <t>7 ภารกิจ/สัปดาห์</t>
        </r>
      </text>
    </comment>
    <comment ref="N100" authorId="0" shapeId="0" xr:uid="{F2F479FF-C532-487A-BAF8-C88E799B6EFA}">
      <text>
        <r>
          <rPr>
            <b/>
            <sz val="9"/>
            <color indexed="81"/>
            <rFont val="Tahoma"/>
            <family val="2"/>
          </rPr>
          <t>5 ภาระงาน/สัปดาห์</t>
        </r>
      </text>
    </comment>
    <comment ref="O100" authorId="0" shapeId="0" xr:uid="{2E1CACE1-CBEA-4FFE-8F34-ADB1FE3179C3}">
      <text>
        <r>
          <rPr>
            <b/>
            <sz val="9"/>
            <color indexed="81"/>
            <rFont val="Tahoma"/>
            <family val="2"/>
          </rPr>
          <t>3 ภาระงาน/สัปดาห์</t>
        </r>
      </text>
    </comment>
    <comment ref="P100" authorId="0" shapeId="0" xr:uid="{B4D92169-0B11-4731-9A48-436C6E091880}">
      <text>
        <r>
          <rPr>
            <b/>
            <sz val="9"/>
            <color indexed="81"/>
            <rFont val="Tahoma"/>
            <family val="2"/>
          </rPr>
          <t>2 ภาระงาน/สัปดาห์</t>
        </r>
      </text>
    </comment>
    <comment ref="Q100" authorId="0" shapeId="0" xr:uid="{CC9B45F8-4943-4235-AE98-82429F7AAAAF}">
      <text>
        <r>
          <rPr>
            <b/>
            <sz val="9"/>
            <color indexed="81"/>
            <rFont val="Tahoma"/>
            <family val="2"/>
          </rPr>
          <t>1 ภาระงาน/สัปดาห์</t>
        </r>
      </text>
    </comment>
    <comment ref="R101" authorId="0" shapeId="0" xr:uid="{1CB70D17-9F5F-4457-99E9-A09BD15E8038}">
      <text>
        <r>
          <rPr>
            <sz val="9"/>
            <color indexed="81"/>
            <rFont val="Tahoma"/>
            <family val="2"/>
          </rPr>
          <t>7 ภาระงาน/สัปดาห์</t>
        </r>
      </text>
    </comment>
    <comment ref="S101" authorId="0" shapeId="0" xr:uid="{AB37E99F-19B2-40F9-9E9C-8E3F26B199BE}">
      <text>
        <r>
          <rPr>
            <sz val="9"/>
            <color indexed="81"/>
            <rFont val="Tahoma"/>
            <family val="2"/>
          </rPr>
          <t>5 ภาระงาน/สัปดาห์</t>
        </r>
      </text>
    </comment>
    <comment ref="T101" authorId="0" shapeId="0" xr:uid="{BA376EF8-FBAD-41C5-90DE-BE137C323036}">
      <text>
        <r>
          <rPr>
            <sz val="9"/>
            <color indexed="81"/>
            <rFont val="Tahoma"/>
            <family val="2"/>
          </rPr>
          <t>3 ภาระงาน/สัปดาห์</t>
        </r>
      </text>
    </comment>
    <comment ref="U101" authorId="0" shapeId="0" xr:uid="{2B03F705-EEA2-47A4-8E75-3651821C9A78}">
      <text>
        <r>
          <rPr>
            <sz val="9"/>
            <color indexed="81"/>
            <rFont val="Tahoma"/>
            <family val="2"/>
          </rPr>
          <t>2 ภาระงาน/สัปดาห์</t>
        </r>
      </text>
    </comment>
    <comment ref="V101" authorId="0" shapeId="0" xr:uid="{B03A1B76-CCE9-40D8-ACFF-E753B17C6958}">
      <text>
        <r>
          <rPr>
            <sz val="9"/>
            <color indexed="81"/>
            <rFont val="Tahoma"/>
            <family val="2"/>
          </rPr>
          <t>1 ภาระงาน/สัปดาห์</t>
        </r>
      </text>
    </comment>
    <comment ref="M143" authorId="0" shapeId="0" xr:uid="{213EEC3E-44C9-4FBC-B44B-40BB06C5C22E}">
      <text>
        <r>
          <rPr>
            <sz val="9"/>
            <color indexed="81"/>
            <rFont val="Tahoma"/>
            <family val="2"/>
          </rPr>
          <t>12 ภาระงาน/สัปดาห์</t>
        </r>
      </text>
    </comment>
    <comment ref="N143" authorId="0" shapeId="0" xr:uid="{CC25059E-8F19-4BD5-945D-53BED4A09C39}">
      <text>
        <r>
          <rPr>
            <sz val="9"/>
            <color indexed="81"/>
            <rFont val="Tahoma"/>
            <family val="2"/>
          </rPr>
          <t>10 ภาระงาน/สัปดาห์</t>
        </r>
      </text>
    </comment>
    <comment ref="O143" authorId="0" shapeId="0" xr:uid="{564350E0-96E1-47D5-8123-6361D1EF369F}">
      <text>
        <r>
          <rPr>
            <sz val="9"/>
            <color indexed="81"/>
            <rFont val="Tahoma"/>
            <family val="2"/>
          </rPr>
          <t>8 ภาระงาน/สัปดาห์</t>
        </r>
      </text>
    </comment>
    <comment ref="P143" authorId="0" shapeId="0" xr:uid="{D2E154AE-8713-4320-A5D2-E7BB8B886301}">
      <text>
        <r>
          <rPr>
            <sz val="9"/>
            <color indexed="81"/>
            <rFont val="Tahoma"/>
            <family val="2"/>
          </rPr>
          <t>7 ภาระงาน/สัปดาห์</t>
        </r>
      </text>
    </comment>
    <comment ref="Q143" authorId="0" shapeId="0" xr:uid="{A9AFB6D2-F842-4F07-9AF5-1630828DFC8C}">
      <text>
        <r>
          <rPr>
            <sz val="9"/>
            <color indexed="81"/>
            <rFont val="Tahoma"/>
            <family val="2"/>
          </rPr>
          <t>5 ภาระงาน/สัปดาห์</t>
        </r>
      </text>
    </comment>
    <comment ref="R143" authorId="0" shapeId="0" xr:uid="{891EAFAD-0EF5-4F2D-A198-ED4647176E8C}">
      <text>
        <r>
          <rPr>
            <sz val="9"/>
            <color indexed="81"/>
            <rFont val="Tahoma"/>
            <family val="2"/>
          </rPr>
          <t>3 ภาระงาน/สัปดาห์</t>
        </r>
      </text>
    </comment>
    <comment ref="S143" authorId="0" shapeId="0" xr:uid="{7BD4D29A-E830-4068-9820-18D5221A5F29}">
      <text>
        <r>
          <rPr>
            <sz val="9"/>
            <color indexed="81"/>
            <rFont val="Tahoma"/>
            <family val="2"/>
          </rPr>
          <t>2 ภาระงาน/สัปดาห์</t>
        </r>
      </text>
    </comment>
    <comment ref="T143" authorId="0" shapeId="0" xr:uid="{92E349C5-74AE-4C44-B820-3A028E060B4A}">
      <text>
        <r>
          <rPr>
            <sz val="9"/>
            <color indexed="81"/>
            <rFont val="Tahoma"/>
            <family val="2"/>
          </rPr>
          <t>1 ภาระงาน/สัปดาห์</t>
        </r>
      </text>
    </comment>
    <comment ref="K157" authorId="0" shapeId="0" xr:uid="{FCE2B378-733D-4248-BE96-52ADF5715AD4}">
      <text>
        <r>
          <rPr>
            <sz val="9"/>
            <color indexed="81"/>
            <rFont val="Tahoma"/>
            <family val="2"/>
          </rPr>
          <t>การเป็นหัวหน้า/ผู้รับผิดชอบหลัก/เลขานุการโครงการ (2 ภาระงาน/สัปดาห์/โครงการ)</t>
        </r>
      </text>
    </comment>
    <comment ref="L157" authorId="0" shapeId="0" xr:uid="{45B16D7E-82EB-4FF5-A5E4-15B20F739A10}">
      <text>
        <r>
          <rPr>
            <sz val="9"/>
            <color indexed="81"/>
            <rFont val="Tahoma"/>
            <family val="2"/>
          </rPr>
          <t>การเป็นผู้รับผิดชอบร่วม/คณะทำงาน (1 ภาระงาน/สัปดาห์/โครงการ)</t>
        </r>
      </text>
    </comment>
    <comment ref="M157" authorId="0" shapeId="0" xr:uid="{39301638-41C9-4472-90CC-62A9F4E0A66E}">
      <text>
        <r>
          <rPr>
            <sz val="9"/>
            <color indexed="81"/>
            <rFont val="Tahoma"/>
            <family val="2"/>
          </rPr>
          <t>การเป็นผู้เข้าร่วมกิจกรรม (0.2 ภารกิจ/สัปดาห์/โครงการ)</t>
        </r>
      </text>
    </comment>
    <comment ref="N157" authorId="0" shapeId="0" xr:uid="{A6D35E33-F256-46C2-BF16-168E9A49B923}">
      <text>
        <r>
          <rPr>
            <sz val="9"/>
            <color indexed="81"/>
            <rFont val="Tahoma"/>
            <family val="2"/>
          </rPr>
          <t>การเป็นหัวหน้า/ผู้รับผิดชอบหลัก/เลขานุการโครงการ (2 ภาระงาน/สัปดาห์/โครงการ)</t>
        </r>
      </text>
    </comment>
    <comment ref="O157" authorId="0" shapeId="0" xr:uid="{16FBD3CF-4766-415F-B3BF-C95F80B14162}">
      <text>
        <r>
          <rPr>
            <sz val="9"/>
            <color indexed="81"/>
            <rFont val="Tahoma"/>
            <family val="2"/>
          </rPr>
          <t>การเป็นผู้รับผิดชอบร่วม/คณะทำงาน (1 ภาระงาน/สัปดาห์/โครงการ)</t>
        </r>
      </text>
    </comment>
    <comment ref="P157" authorId="1" shapeId="0" xr:uid="{1457A023-E0F9-438A-8CA5-00D75ED00CA5}">
      <text>
        <r>
          <rPr>
            <sz val="9"/>
            <color indexed="81"/>
            <rFont val="Tahoma"/>
            <family val="2"/>
          </rPr>
          <t>การเป็นผู้เข้าร่วมโครงการ (0.2 ภารกิจ/สัปดาห์/โครงการ)</t>
        </r>
      </text>
    </comment>
    <comment ref="Q157" authorId="1" shapeId="0" xr:uid="{897B504B-CDF4-4132-A6E3-28F1C8E12E01}">
      <text>
        <r>
          <rPr>
            <sz val="9"/>
            <color indexed="81"/>
            <rFont val="Tahoma"/>
            <family val="2"/>
          </rPr>
          <t>นักศึกษาปริญญาตรี และปริญญาโทและปริญญาเอก (2 ภาระงาน/สัปดาห์/ภาคการศึกษา)</t>
        </r>
      </text>
    </comment>
    <comment ref="R157" authorId="1" shapeId="0" xr:uid="{F810FFA5-8D14-4486-B79F-8A27BFB9DBC6}">
      <text>
        <r>
          <rPr>
            <sz val="9"/>
            <color indexed="81"/>
            <rFont val="Tahoma"/>
            <family val="2"/>
          </rPr>
          <t>สโมสรนักศึกษาของมหาวิทยาลัย / คณะ (1 ภาระงาน/สัปดาห์/ภาคการศึกษา)</t>
        </r>
      </text>
    </comment>
    <comment ref="S157" authorId="1" shapeId="0" xr:uid="{63E44A2B-44AA-49A6-8585-C64AD2C57773}">
      <text>
        <r>
          <rPr>
            <sz val="9"/>
            <color indexed="81"/>
            <rFont val="Tahoma"/>
            <family val="2"/>
          </rPr>
          <t>ชมรมหรือโครงการ (0.5 ภาระงาน/สัปดาห์/ภาคการศึกษา)</t>
        </r>
      </text>
    </comment>
    <comment ref="D169" authorId="0" shapeId="0" xr:uid="{49487DAB-ABD3-422A-8193-9DCEA51B0050}">
      <text>
        <r>
          <rPr>
            <sz val="9"/>
            <color indexed="81"/>
            <rFont val="Tahoma"/>
            <family val="2"/>
          </rPr>
          <t>ระบุว่าเป็น คำสั่งหรือประกาศ สภามหาวิทยาลั / มหาวิทยาลัย / ฝ่ายฯ / คณะวิชาหรือวิทยาลัย</t>
        </r>
      </text>
    </comment>
    <comment ref="F169" authorId="0" shapeId="0" xr:uid="{99A9520F-0C01-4DC3-8819-ABD1AEE44A01}">
      <text>
        <r>
          <rPr>
            <sz val="9"/>
            <color indexed="81"/>
            <rFont val="Tahoma"/>
            <family val="2"/>
          </rPr>
          <t>ระบุเลขที่คำสั่ง/ประกาศ (ถ้ามี)</t>
        </r>
      </text>
    </comment>
    <comment ref="P169" authorId="0" shapeId="0" xr:uid="{BDD8B132-9D4A-40BE-8432-869E2B821D49}">
      <text>
        <r>
          <rPr>
            <sz val="9"/>
            <color indexed="81"/>
            <rFont val="Tahoma"/>
            <family val="2"/>
          </rPr>
          <t>ภาระงานที่ได้รับมอบหมายจากสภามหาวิทยาลัย/ มหาวิทยาลัย</t>
        </r>
      </text>
    </comment>
    <comment ref="Q169" authorId="0" shapeId="0" xr:uid="{45230D90-C76B-48CF-A989-F8FAED90C895}">
      <text>
        <r>
          <rPr>
            <sz val="9"/>
            <color indexed="81"/>
            <rFont val="Tahoma"/>
            <family val="2"/>
          </rPr>
          <t>ประธานวิชา/ ผู้ประสานงานวิชา
(1 ภาระงาน / สัปดาห์)</t>
        </r>
      </text>
    </comment>
    <comment ref="R169" authorId="0" shapeId="0" xr:uid="{C78757C6-6962-44D1-9CD7-DE442858D1CE}">
      <text>
        <r>
          <rPr>
            <sz val="9"/>
            <color indexed="81"/>
            <rFont val="Tahoma"/>
            <family val="2"/>
          </rPr>
          <t>- คณะกรรมการบริหารประจำหลักสูตร 5 ภาระงาน / สัปดาห์
- กรณีเป็นอาจารย์ผู้รับผิดชอบหลักสูตรโดยไม่ได้เป็นกรรมการบริการประจำหลักสูตร 2 ภาระงาน / สัปดาห์</t>
        </r>
      </text>
    </comment>
    <comment ref="S169" authorId="1" shapeId="0" xr:uid="{356528EA-16D0-4098-A743-DB4810D587DA}">
      <text>
        <r>
          <rPr>
            <sz val="9"/>
            <color indexed="81"/>
            <rFont val="Tahoma"/>
            <family val="2"/>
          </rPr>
          <t xml:space="preserve">คณะกรรมการอื่นที่แต่งตั้งโดยคณะวิชา/ ฝ่ายต่าง ๆ </t>
        </r>
      </text>
    </comment>
    <comment ref="T169" authorId="1" shapeId="0" xr:uid="{B61709AD-979A-4EB4-9524-54CEFC85D05C}">
      <text>
        <r>
          <rPr>
            <sz val="9"/>
            <color indexed="81"/>
            <rFont val="Tahoma"/>
            <family val="2"/>
          </rPr>
          <t>คณะกรรมการประกันคุณภาพการศึกษา</t>
        </r>
      </text>
    </comment>
    <comment ref="U169" authorId="1" shapeId="0" xr:uid="{B2B402DA-DAB7-4911-8F03-7911D1C004E3}">
      <text>
        <r>
          <rPr>
            <sz val="9"/>
            <color indexed="81"/>
            <rFont val="Tahoma"/>
            <family val="2"/>
          </rPr>
          <t xml:space="preserve">ภาระงานที่ได้รับมอบหมายให้เป็นผู้ประเมินคุณภาพภายใน   </t>
        </r>
      </text>
    </comment>
    <comment ref="V169" authorId="1" shapeId="0" xr:uid="{01B381B8-0B80-43D4-9D2B-3A2AB0446F89}">
      <text>
        <r>
          <rPr>
            <sz val="9"/>
            <color indexed="81"/>
            <rFont val="Tahoma"/>
            <family val="2"/>
          </rPr>
          <t>คณะกรรมการจริยธรรมการวิจัยในคน</t>
        </r>
      </text>
    </comment>
    <comment ref="W169" authorId="1" shapeId="0" xr:uid="{BE0A6E1B-7DEF-48B3-B5B5-C196C7BBDF76}">
      <text>
        <r>
          <rPr>
            <sz val="9"/>
            <color indexed="81"/>
            <rFont val="Tahoma"/>
            <family val="2"/>
          </rPr>
          <t>การเป็นผู้ที่ได้รับแต่งตั้ง/มอบหมายโดยมหาวิทยาลัยให้รับผิดชอบงานอื่นที่มิใช่งานสอน โดยไม่มีตำแหน่งบริหาร</t>
        </r>
      </text>
    </comment>
  </commentList>
</comments>
</file>

<file path=xl/sharedStrings.xml><?xml version="1.0" encoding="utf-8"?>
<sst xmlns="http://schemas.openxmlformats.org/spreadsheetml/2006/main" count="1438" uniqueCount="568">
  <si>
    <t>แบบรายงานภาระงานอาจารย์ประจำ</t>
  </si>
  <si>
    <t>มหาวิทยาลัยพายัพ</t>
  </si>
  <si>
    <t>ภาคการศึกษาที่ 1</t>
  </si>
  <si>
    <t>ภาคการศึกษาที่ 2</t>
  </si>
  <si>
    <t>ปีการศึกษา</t>
  </si>
  <si>
    <t>รหัสประจำตัวอาจารย์</t>
  </si>
  <si>
    <t>ชื่อ - นามสกุล</t>
  </si>
  <si>
    <t>ตำแหน่งบริหาร (ถ้ามี)</t>
  </si>
  <si>
    <t>สาขาวิชา</t>
  </si>
  <si>
    <t>1. ภาระการสอน</t>
  </si>
  <si>
    <t>ลำดับ</t>
  </si>
  <si>
    <t>รหัสวิชา</t>
  </si>
  <si>
    <t>ตอน</t>
  </si>
  <si>
    <t>ชื่อวิชา</t>
  </si>
  <si>
    <t>สอนร่วม</t>
  </si>
  <si>
    <t>จำนวนนักศึกษา</t>
  </si>
  <si>
    <t>รวมภาระงานสอนปกติ</t>
  </si>
  <si>
    <t>รวมภาระงานสอนลักษณะพิเศษ</t>
  </si>
  <si>
    <t>1 - 19</t>
  </si>
  <si>
    <t>20 - 39</t>
  </si>
  <si>
    <t>40 - 59</t>
  </si>
  <si>
    <t>60 - 79</t>
  </si>
  <si>
    <t>80 - 100</t>
  </si>
  <si>
    <r>
      <t>ร้อยละการมีส่วนร่วมในโครงการ (</t>
    </r>
    <r>
      <rPr>
        <sz val="10"/>
        <color theme="1"/>
        <rFont val="Wingdings"/>
        <charset val="2"/>
      </rPr>
      <t>ü</t>
    </r>
    <r>
      <rPr>
        <sz val="10"/>
        <color theme="1"/>
        <rFont val="Calibri"/>
        <family val="2"/>
        <scheme val="minor"/>
      </rPr>
      <t>)</t>
    </r>
  </si>
  <si>
    <t>รวมภาระงาน งานวิจัย/งานสร้างสรรค์</t>
  </si>
  <si>
    <r>
      <t>ประเภทผลงานทางวิชาการ (</t>
    </r>
    <r>
      <rPr>
        <sz val="10"/>
        <color theme="1"/>
        <rFont val="Wingdings"/>
        <charset val="2"/>
      </rPr>
      <t>ü</t>
    </r>
    <r>
      <rPr>
        <sz val="10"/>
        <color theme="1"/>
        <rFont val="Calibri"/>
        <family val="2"/>
        <scheme val="minor"/>
      </rPr>
      <t>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</si>
  <si>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</si>
  <si>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</si>
  <si>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</si>
  <si>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</si>
  <si>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</si>
  <si>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</si>
  <si>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</si>
  <si>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</si>
  <si>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</si>
  <si>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รายการผลงานทางวิชาการอื่น ๆ</t>
  </si>
  <si>
    <t xml:space="preserve">รวมภาระงาน ผลงานทางวิชาการอื่นๆ </t>
  </si>
  <si>
    <t>3. งานบริการวิชาการ (ตามประกาศฯ หมวดที่ 4)</t>
  </si>
  <si>
    <t>รายการงานบริการวิชาการ</t>
  </si>
  <si>
    <t>รวมภาระงาน งานบริการวิชาการ</t>
  </si>
  <si>
    <t>รวมภาระงาน งานทำนุบำรุงศิลปวัฒนธรรม และ/หรือ งานพัฒนานักศึกษา</t>
  </si>
  <si>
    <t>Information Technology</t>
  </si>
  <si>
    <t>International Business Management</t>
  </si>
  <si>
    <t>Hospitality Industry Management</t>
  </si>
  <si>
    <t>ภารกิจ/สัปดาห์</t>
  </si>
  <si>
    <t>ลักษณะงานสอน</t>
  </si>
  <si>
    <t>บรรยาย</t>
  </si>
  <si>
    <t>ปฏิบัติ</t>
  </si>
  <si>
    <t>การสอนระดับปริญญาตรีทุกหลักสูตร</t>
  </si>
  <si>
    <t>การสอนระดับบัณฑิตศึกษาทุกหลักสูตร</t>
  </si>
  <si>
    <t>1-30 คน</t>
  </si>
  <si>
    <t>31 คนขึ้นไป</t>
  </si>
  <si>
    <t>ร้อยละการมีส่วนร่วมในโครงการ</t>
  </si>
  <si>
    <t>80-100</t>
  </si>
  <si>
    <t>60-79</t>
  </si>
  <si>
    <t>40-59</t>
  </si>
  <si>
    <t>20-39</t>
  </si>
  <si>
    <t>1-19</t>
  </si>
  <si>
    <t>เป็นผู้ทรงคุณวุฒิ ที่ปรึกษา กรรมการวิชาการ และ/หรือ กรรมการวิชาชีพภายนอก</t>
  </si>
  <si>
    <t>ต่อโครงการ</t>
  </si>
  <si>
    <t>งานบริการวิชาการอื่น ๆ</t>
  </si>
  <si>
    <t>อยู่ในดุลยพินิจของคณะวิชา (ผู้ดำเนินโครงการ ต่อครั้ง)</t>
  </si>
  <si>
    <t>อยู่ในดุลยพินิจของคณะวิชา (ผู้เข้าร่วมโครงการ ต่อครั้ง)</t>
  </si>
  <si>
    <t>หน่วยงาน (กรณีไปปฏิบัติหน้าที่)</t>
  </si>
  <si>
    <t>วิทยาลัย/คณะ</t>
  </si>
  <si>
    <t>ü</t>
  </si>
  <si>
    <t>ต่อภาคการศึกษา</t>
  </si>
  <si>
    <t>6. งานในตำแหน่งบริหาร (เทียบภาระงานตามประกาศสภามหาวิทยาลัย)</t>
  </si>
  <si>
    <t>คำสั่ง/ประกาศ</t>
  </si>
  <si>
    <t>ตำแหน่ง</t>
  </si>
  <si>
    <t>ที่</t>
  </si>
  <si>
    <t>เรื่อง</t>
  </si>
  <si>
    <t>การเป็นผู้ที่ได้รับมอบหมายโดยมหาวิทยาลัยให้รับผิดชอบงานอื่นที่มิใช่งานสอน โดยไม่มีตำแหน่งบริหาร</t>
  </si>
  <si>
    <t>อธิการบดี</t>
  </si>
  <si>
    <t>รองอธิการบดี</t>
  </si>
  <si>
    <t>ผู้ช่วยอธิการบดี/คณบดี</t>
  </si>
  <si>
    <t>-</t>
  </si>
  <si>
    <t>ผู้ช่วยรองอธิการบดี</t>
  </si>
  <si>
    <t>ผู้อำนวยการ</t>
  </si>
  <si>
    <t>ภาระงาน (ภารกิจ/สัปดาห์)</t>
  </si>
  <si>
    <t>สัดส่วนภาระการสอน</t>
  </si>
  <si>
    <t>เกณฑ์การสอน (หน่วยกิต)</t>
  </si>
  <si>
    <t>ภาระงาน</t>
  </si>
  <si>
    <t>รวมภาระงาน งานในตำแหน่งบริหาร</t>
  </si>
  <si>
    <t>7. สรุปภาระงานทั้งหมด</t>
  </si>
  <si>
    <t>งานทำนุบำรุงศิลปวัฒนธรรมและ/หรืองานพัฒนานักศึกษา</t>
  </si>
  <si>
    <t>งานในตำแหน่งบริหาร</t>
  </si>
  <si>
    <t>รวมภาระงานทั้งหมด</t>
  </si>
  <si>
    <t>รวม</t>
  </si>
  <si>
    <t>เฉลี่ย/ภาคการศึกษา</t>
  </si>
  <si>
    <t>กรณีภาระการสอนไม่ครบตามเกณฑ์ ให้อาจารย์ผลิตผลงานวิชาการตามเกณฑ์</t>
  </si>
  <si>
    <t>การเข้าสู่ตำแหน่งทางวิชาการ อย่างน้อย 1 ผลงาน</t>
  </si>
  <si>
    <t>โปรดระบุชื่อ ผลงานทางวิชาการ</t>
  </si>
  <si>
    <t>ข้าพเจ้าขอรับรองว่า  ข้อความข้างต้นเป็นจริงทุกประการ</t>
  </si>
  <si>
    <t>(...............................................)</t>
  </si>
  <si>
    <t>วันที่รายงาน............/........................./............</t>
  </si>
  <si>
    <t>8. ความเห็นผู้บังคับบัญชา (หัวหน้าภาควิชา/หัวหน้าสาขา/หัวหน้ากลุ่มวิชา/ผู้รับผิดชอบ)</t>
  </si>
  <si>
    <t>ข้าพเจ้าได้ตรวจสอบภาระงานทุกด้านปรากฎว่า</t>
  </si>
  <si>
    <t>เป็นผู้มีภาระงาน</t>
  </si>
  <si>
    <t xml:space="preserve">  ผ่านเกณฑ์</t>
  </si>
  <si>
    <t xml:space="preserve">  ไม่ผ่านเกณฑ์</t>
  </si>
  <si>
    <t>ตำแหน่ง...................................................</t>
  </si>
  <si>
    <t>วันที่............/........................./............</t>
  </si>
  <si>
    <t>9. ความเห็นคณบดี / ผู้บังคับบัญชาขั้นสูง</t>
  </si>
  <si>
    <t>แบบรายงานภาระงานอาจารย์ประจำมหาวิทยาลัยพายัพ</t>
  </si>
  <si>
    <t>English Communication</t>
  </si>
  <si>
    <t>International MBA</t>
  </si>
  <si>
    <t>Linguistics MA</t>
  </si>
  <si>
    <t>TESOL MA</t>
  </si>
  <si>
    <t>Divinity MDiv</t>
  </si>
  <si>
    <t>Peacebuilding PhD</t>
  </si>
  <si>
    <t>สาขาวิชานิติศาสตร์</t>
  </si>
  <si>
    <t>สาขาวิชาเภสัชศาสตร์</t>
  </si>
  <si>
    <t>สาขาวิชาเศรษฐศาสตร์</t>
  </si>
  <si>
    <t>วิทยาลัยนานาชาติ (International College)</t>
  </si>
  <si>
    <t>วิทยาลัยดุริยศิลป์ (College of Music)</t>
  </si>
  <si>
    <t>วิทยาลัยพระคริสต์ธรรมแมคกิลวารี (McGilvary College of Divinity)</t>
  </si>
  <si>
    <t>คณะนิติศาสตร์ (Faculty of Law)</t>
  </si>
  <si>
    <t>คณะเภสัชศาสตร์ (Faculty of Pharmacy)</t>
  </si>
  <si>
    <t>คณะพยาบาลศาสตร์แมคคอร์มิค (McCormick Faculty of Nursing)</t>
  </si>
  <si>
    <t>สถาบันดนตรี</t>
  </si>
  <si>
    <t>สาขาวิชาดุริยศิลป์</t>
  </si>
  <si>
    <t>สาขาวิชาภาษาไทยเพื่อการสื่อสาร</t>
  </si>
  <si>
    <t>สาขาวิชาภาษาอังกฤษ</t>
  </si>
  <si>
    <t>สาขาวิชาภาษาและวัฒนธรรมญี่ปุ่น</t>
  </si>
  <si>
    <t>สาขาวิชาภาษาและวัฒนธรรมจีน</t>
  </si>
  <si>
    <t>สาขาวิชาจิตวิทยา</t>
  </si>
  <si>
    <t>สาขาวิชาการตลาด</t>
  </si>
  <si>
    <t>สาขาวิชาการจัดการ</t>
  </si>
  <si>
    <t>สาขาวิชาการจัดการโรงแรม</t>
  </si>
  <si>
    <t>สาขาวิชาบริหารธุรกิจ (MBA)</t>
  </si>
  <si>
    <t>สาขาวิชาวิทยาการคอมพิวเตอร์</t>
  </si>
  <si>
    <t>สาขาวิชาวิศวกรรมซอฟต์แวร์</t>
  </si>
  <si>
    <t>สาขาวิชาวิทยาศาสตร์และเทคโนโลยีอาหาร</t>
  </si>
  <si>
    <t>สาขาวิชาการบัญชี</t>
  </si>
  <si>
    <t>สาขาวิชาการเงินและการธนาคาร</t>
  </si>
  <si>
    <t>สาขาวิชาพยาบาลศาสตร์</t>
  </si>
  <si>
    <t>สาขาวิชานิเทศศาสตร์</t>
  </si>
  <si>
    <t>ฝ่ายบริหาร</t>
  </si>
  <si>
    <t>สภามหาวิทยาลัย</t>
  </si>
  <si>
    <t>ความเห็นผู้บังคับบัญชา (หัวหน้าภาควิชา/หัวหน้าสาขา/หัวหน้ากลุ่มวิชา/ผู้รับผิดชอบ)</t>
  </si>
  <si>
    <t>ความเห็นคณบดี / ผู้บังคับบัญชาขั้นสูง</t>
  </si>
  <si>
    <t>ผู้ประสานงานหลักสูตร คณาจารย์ที่ได้รับมอบหมาย/แต่งตั้งให้รับผิดชอบงานอื่นที่ไม่ใช่งานสอนโดยไม่มีตำแหน่งบริหาร</t>
  </si>
  <si>
    <t>ตำแหน่งทางวิชาการ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</si>
  <si>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</si>
  <si>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</si>
  <si>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</si>
  <si>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</si>
  <si>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การคิดภาระงาน</t>
  </si>
  <si>
    <t>ข้อ 9 (2) งานสอนที่มีลักษณะพิเศษ</t>
  </si>
  <si>
    <t>ข้อ 9 (1) งานสอนปกติ</t>
  </si>
  <si>
    <t>งานสอนแบบบรรยาย</t>
  </si>
  <si>
    <t>ข้อ 10 (1) งานสอนปกติ</t>
  </si>
  <si>
    <t>ข้อ 10 (2) งานสอนที่มีลักษณะพิเศษ</t>
  </si>
  <si>
    <t>การเป็นกรรมการสอบโครงร่างการค้นคว้าอิสระ</t>
  </si>
  <si>
    <t>การเป็นกรรมการสอบการค้นคว้าอิสระ</t>
  </si>
  <si>
    <t>การเป็นกรรมการสอบโครงร่างวิทยานิพนธ์</t>
  </si>
  <si>
    <t>การเป็นกรรมการสอบวิทยานิพนธ์</t>
  </si>
  <si>
    <t>งานสอนแบบฏิบัติ</t>
  </si>
  <si>
    <t>จำนวนทุนวิจัยที่ได้รับตามสัดส่วนในโครงการ</t>
  </si>
  <si>
    <t>1,000,000 บาทขึ้นไป</t>
  </si>
  <si>
    <t>500,000 - 999,999 บาท</t>
  </si>
  <si>
    <t>100,000 - 499,999 บาท</t>
  </si>
  <si>
    <t>80,000 - 99,999 บาท</t>
  </si>
  <si>
    <t>60,000 - 79,999 บาท</t>
  </si>
  <si>
    <t>40,000 - 59,999 บาท</t>
  </si>
  <si>
    <t>20,000 - 39,999 บาท</t>
  </si>
  <si>
    <t>ไม่เกิน - 19,999 บาท</t>
  </si>
  <si>
    <t>ตำรา</t>
  </si>
  <si>
    <t xml:space="preserve">คณาจารย์ที่มิได้ดำรงตำแหน่งบริหาร ซึ่งได้รับมอบหมายให้รับผิดชอบงานอื่น </t>
  </si>
  <si>
    <t>ฝ่ายวิชาการและวิจัย</t>
  </si>
  <si>
    <t>รายวิชาสอน</t>
  </si>
  <si>
    <t>หลักสูตรระดับปริญญาตรี</t>
  </si>
  <si>
    <t xml:space="preserve">หน่วยกิต  </t>
  </si>
  <si>
    <t>X (X-X-X)</t>
  </si>
  <si>
    <t>AC103</t>
  </si>
  <si>
    <t>AC104</t>
  </si>
  <si>
    <t>AC105</t>
  </si>
  <si>
    <t>AC106</t>
  </si>
  <si>
    <t>3 (2-2-5)</t>
  </si>
  <si>
    <t>3 (3-0-6)</t>
  </si>
  <si>
    <t>รวมภาระการสอน</t>
  </si>
  <si>
    <t>มีนักศึกษาต่างชาติลงทะเบียน</t>
  </si>
  <si>
    <t>หน่วยกิต</t>
  </si>
  <si>
    <t>ไม่เกิน 19,999</t>
  </si>
  <si>
    <t>20,000-39,999</t>
  </si>
  <si>
    <t>40,000-59,999</t>
  </si>
  <si>
    <t>60,000-79,999</t>
  </si>
  <si>
    <t>80,000-99,999</t>
  </si>
  <si>
    <t>100,000-499,999</t>
  </si>
  <si>
    <t>500,000-999,999</t>
  </si>
  <si>
    <r>
      <t>งานวิจัยชั้นเรียน (</t>
    </r>
    <r>
      <rPr>
        <sz val="9"/>
        <color theme="1"/>
        <rFont val="Wingdings"/>
        <charset val="2"/>
      </rPr>
      <t>ü</t>
    </r>
    <r>
      <rPr>
        <sz val="9"/>
        <color theme="1"/>
        <rFont val="Calibri"/>
        <family val="2"/>
        <scheme val="minor"/>
      </rPr>
      <t>)</t>
    </r>
  </si>
  <si>
    <t>เลขที่สัญญา</t>
  </si>
  <si>
    <t>วันเดือนปีที่ได้รับอนุมัติ</t>
  </si>
  <si>
    <r>
      <t>จำนวนทุนวิจัยที่ได้รับตามสัดส่วนในโครงการ (</t>
    </r>
    <r>
      <rPr>
        <sz val="10"/>
        <color theme="1"/>
        <rFont val="Wingdings"/>
        <charset val="2"/>
      </rPr>
      <t>ü</t>
    </r>
    <r>
      <rPr>
        <sz val="10"/>
        <color theme="1"/>
        <rFont val="Calibri"/>
        <family val="2"/>
        <charset val="222"/>
        <scheme val="minor"/>
      </rPr>
      <t>)</t>
    </r>
  </si>
  <si>
    <r>
      <t>ลักษณะงานทำนุบำรุงศิลปวัฒนธรรม และ/หรือ งานพัฒนานักศึกษา (</t>
    </r>
    <r>
      <rPr>
        <sz val="8"/>
        <color theme="1"/>
        <rFont val="Wingdings"/>
        <charset val="2"/>
      </rPr>
      <t>ü</t>
    </r>
    <r>
      <rPr>
        <sz val="8"/>
        <color theme="1"/>
        <rFont val="Calibri"/>
        <family val="2"/>
        <scheme val="minor"/>
      </rPr>
      <t>)</t>
    </r>
  </si>
  <si>
    <t>งานวิจัย งานสร้างสรรค์ หนังสือ ตำรา บทความวิจัย หรือ บทความทางวิชาการ หรือผลงานทางวิชาการอื่น ๆ ในปีการศึกษานี้ (ถ้ามี)</t>
  </si>
  <si>
    <t>กรณีได้รับทุนสนับสนุนจากหน่วยงานภายนอก</t>
  </si>
  <si>
    <t>กรณีได้รับทุนสนับสนุนจากมหาวิทยาลัย</t>
  </si>
  <si>
    <t>คณะมนุษยศาสตร์และนิเทศศาสตร์ (Faculty of Humanities and Communication Arts)</t>
  </si>
  <si>
    <t>มี/ไม่มี</t>
  </si>
  <si>
    <t>1.1 งานสอนปกติ (งานสอนแบบบรรยาย/งานสอนแบบปฏิบัติ) (ตามประกาศฯ หมวดที่ 2 ข้อ 9.1 (1), 9.1 (2) และ ข้อ 11 (1), 11 (3))</t>
  </si>
  <si>
    <t>งานสอนในหลักสูตรระยะสั้น</t>
  </si>
  <si>
    <t>2. ภาระงานวิจัย และงานวิชาการอื่น (ตามประกาศฯ หมวดที่ 3)</t>
  </si>
  <si>
    <t xml:space="preserve">ชื่องานวิจัย/งานวิชาการอื่น </t>
  </si>
  <si>
    <t>2.1 งานวิจัยและงานวิชาการอื่น ที่ได้รับความเห็นชอบหรืออนุมัติจากมหาวิทยาลัย (ตามประกาศฯ หมวดที่ 3 ข้อ 13 (1), 13 (2) และ 13 (3))</t>
  </si>
  <si>
    <t>คิดเป็นภาระงาน (ภาระงาน/สัปดาห์)</t>
  </si>
  <si>
    <t>2.2 ผลงานทางวิชาการอื่น ๆ (ตามประกาศฯ หมวดที่ 3 ข้อ 13 (4), 13 (5), 13 (6) และ 13(7))</t>
  </si>
  <si>
    <t>หนังสือ</t>
  </si>
  <si>
    <t>งานแปล</t>
  </si>
  <si>
    <t>Software</t>
  </si>
  <si>
    <t>ผลงานสร้างสรรค์ด้านวิทยาศาสตร์</t>
  </si>
  <si>
    <t>ผลงานสร้างสรรค์ด้านสุนทรียะ</t>
  </si>
  <si>
    <t>ผลงานวิชาการเพื่อพัฒนานโยบายสาธารณะ</t>
  </si>
  <si>
    <t>ผลงานวิชาการรับใช้สังคม</t>
  </si>
  <si>
    <t>ผลงานอื่นๆ ตามประกาศ กกอ.</t>
  </si>
  <si>
    <t>ลักษณะของงาน</t>
  </si>
  <si>
    <t>การผลิตผลงานวิชาการเพื่อใช้ประเมินการสอนประกอบการเข้าสู่ตำแหน่งทางวิชาการ</t>
  </si>
  <si>
    <t>เอกสารประกอบการสอน</t>
  </si>
  <si>
    <t>การผลิตนวัตกรรม</t>
  </si>
  <si>
    <t>สื่อการสอน</t>
  </si>
  <si>
    <t>ชุดการสอน</t>
  </si>
  <si>
    <t>สิ่งประดิษฐ์</t>
  </si>
  <si>
    <t>ผลงานอื่นในลักษณะเดียวกัน</t>
  </si>
  <si>
    <t>การเผยแพร่ผลงานวิจัย และ/หรือ ผลงานวิชาการตามประกาศ กกอ.</t>
  </si>
  <si>
    <t>การเผยแพร่ผลงานฯ</t>
  </si>
  <si>
    <t>ในระดับชาติ</t>
  </si>
  <si>
    <t>ในระดับนานาชาติ</t>
  </si>
  <si>
    <t>งานวิจัย และ/หรือ ผลงานวิชาการที่ได้รับรางวัล</t>
  </si>
  <si>
    <t>มีการจดสิทธิบัตร</t>
  </si>
  <si>
    <t>รางวัลระดับชาติ</t>
  </si>
  <si>
    <t>รางวัลระดับนานาชาติ</t>
  </si>
  <si>
    <t xml:space="preserve"> </t>
  </si>
  <si>
    <t>อื่น ๆ</t>
  </si>
  <si>
    <r>
      <t>จำนวนงบประมาณที่ได้รับตามสัดส่วนในโครงการ  (</t>
    </r>
    <r>
      <rPr>
        <sz val="10"/>
        <color theme="1"/>
        <rFont val="Wingdings"/>
        <charset val="2"/>
      </rPr>
      <t>ü</t>
    </r>
    <r>
      <rPr>
        <sz val="10"/>
        <color theme="1"/>
        <rFont val="Calibri"/>
        <family val="2"/>
        <charset val="222"/>
        <scheme val="minor"/>
      </rPr>
      <t>)</t>
    </r>
  </si>
  <si>
    <t>ชื่อโครงการ</t>
  </si>
  <si>
    <t>จำนวนผู้รับผิดชอบโครงการ</t>
  </si>
  <si>
    <t>สัดส่วนของงบประมาณที่ได้รับ (คิดเป็นร้อยละ)</t>
  </si>
  <si>
    <t>โครงการทำนุบำรุงศิลปวัฒนธรรม</t>
  </si>
  <si>
    <t>โครงการพัฒนานักศึกษา (เสริมหลักสูตร และนอกหลักสูตร)</t>
  </si>
  <si>
    <t>อาจารย์ที่ปรึกษา</t>
  </si>
  <si>
    <t>จำนวนโครงการ</t>
  </si>
  <si>
    <t>4. งานทำนุบำรุงศิลปวัฒนธรรม และ/หรือ งานพัฒนานักศึกษา (ตามประกาศฯ หมวดที่ 5 ข้อ 18)</t>
  </si>
  <si>
    <t>รายการ งานทำนุบำรุงศิลปวัฒนธรรม และ/หรือ งานพัฒนานักศึกษา</t>
  </si>
  <si>
    <t>สอนวิชาภาคฝึกปฏิบัติ/ภาคสนาม/รายวิชาอื่นที่คล้ายกัน</t>
  </si>
  <si>
    <t>เป็นที่ปรึกษาวิชาค้นคว้าอิสระ/โครงงาน/วิชาอื่นที่คล้ายกัน</t>
  </si>
  <si>
    <t>รวมภาระงาน งานวิจัย/งานวิชาการอื่น</t>
  </si>
  <si>
    <t>หลักเกณฑ์ว่าด้วย การกำหนดภาระงานของอาจารย์มหาวิทยาลัยพายัพ พ.ศ. 2564</t>
  </si>
  <si>
    <t>ภาระงาน/สัปดาห์</t>
  </si>
  <si>
    <t>งานสอนแบบปฏิบัติ</t>
  </si>
  <si>
    <t xml:space="preserve">          งานสอนแบบปฏิบัติ</t>
  </si>
  <si>
    <t xml:space="preserve">         งานสอนแบบบรรยาย</t>
  </si>
  <si>
    <t xml:space="preserve">         งานสอนแบบปฏิบัติ</t>
  </si>
  <si>
    <t>การเป็นอาจารย์ผู้ประสานงานและนิเทศสหกิจศึกษา</t>
  </si>
  <si>
    <t xml:space="preserve">         อาจารย์ผู้ประสานงานรายวิชา</t>
  </si>
  <si>
    <t xml:space="preserve">         อาจารย์ผู้นิเทศ</t>
  </si>
  <si>
    <t>สอน 1 ชั่วโมง คิดเป็น 0.15 ภาระงานต่อสัปดาห์</t>
  </si>
  <si>
    <t>สอน 1 ชั่วโมง คิดเป็น 0.10 ภาระงานต่อสัปดาห์</t>
  </si>
  <si>
    <t>การเป็นอาจารย์ในรายวิชาสารนิพนธ์/ค้นคว้าอิสระ/รายวิชาโครงาน หรือรายวิชาอื่นที่มีลักษณะคล้ายคลึง</t>
  </si>
  <si>
    <t xml:space="preserve">         อาจารย์ที่ปรึกษาหลัก</t>
  </si>
  <si>
    <t xml:space="preserve">         อาจารย์ที่ปรึกษาร่วม</t>
  </si>
  <si>
    <t>0.5 ภาระงานต่อสัปดาห์ ต่อ 1 โครงงาน</t>
  </si>
  <si>
    <t xml:space="preserve">            ระยะทางมากกว่า 100 กม.</t>
  </si>
  <si>
    <t xml:space="preserve">            ระยะทางน้อยกว่า 100 กม.</t>
  </si>
  <si>
    <t>งานสอนในรายวิชาฝึกปฏิบัติ (practicum)/ ภาคสนาม/รายวิชาอื่นที่คล้ายคลึงกัน คิดได้เป็น 3 กรณี</t>
  </si>
  <si>
    <t xml:space="preserve">  1.  นับตามจำนวนชั่วโมงที่ไปนิเทศงานจริงในรายวิชา</t>
  </si>
  <si>
    <t xml:space="preserve">  2.   คิดตามระยะทางที่ไปยังแหล่งฝึกปฏิบัติ</t>
  </si>
  <si>
    <t>ให้</t>
  </si>
  <si>
    <t xml:space="preserve">  3.   ให้อยู่ในดุลยพินิจของคณะวิชา</t>
  </si>
  <si>
    <t xml:space="preserve">ข้อ 11 การคิดสัดส่วนการสอนสำหรับการสอนในลักษณะอื่น ๆ </t>
  </si>
  <si>
    <t>กรณีอาจารย์รับผิดชอบงานสอนหลักทั้งรายวิชาในรายวิชาที่แตกต่างกัน ตั้งแต่ 3 รายวิชาขึ้นไป</t>
  </si>
  <si>
    <t>1.1 กรณีอาจารย์รับผิดชอบงานสอนทั้งรายวิชาใน 3 รายวิชาที่แตกต่างกัน</t>
  </si>
  <si>
    <t>1.2 กรณีอาจารย์รับผิดชอบงานสอนทั้งรายวิชาใน 4 รายวิชาที่แตกต่างกัน</t>
  </si>
  <si>
    <t>1.3 กรณีอาจารย์รับผิดชอบงานสอนทั้งรายวิชาใน 5 รายวิชาที่แตกต่างกัน</t>
  </si>
  <si>
    <t>จำนวน นศ.</t>
  </si>
  <si>
    <t>นับเพิ่มอีก 1</t>
  </si>
  <si>
    <t>นับเพิ่มอีก 2</t>
  </si>
  <si>
    <t>นับเพิ่มอีก 3</t>
  </si>
  <si>
    <t xml:space="preserve">        สอนแบบบรรยาย</t>
  </si>
  <si>
    <t>1-15 คน</t>
  </si>
  <si>
    <t>16 คนขึ้นไป</t>
  </si>
  <si>
    <t xml:space="preserve">การคิดภาระงาน </t>
  </si>
  <si>
    <t>ข้อ 13 (2) กรณีงานวิจัย/งานสร้างสรรค์ ที่ได้รับทุนสนับสนุนจากหน่วยงานภายนอก ให้นับภาระงานได้ไม่เกิน</t>
  </si>
  <si>
    <t>การเป็นอาจารย์ที่ปรึกษาการค้นคว้าอิสระ/รายวิชาโครงงาน หรือรายวิชาอื่นที่มีลักษณะคล้ายคลึงกัน</t>
  </si>
  <si>
    <t>อาจารย์ที่ปรึกษาหลัก</t>
  </si>
  <si>
    <t>อาจารย์ที่ปรึกษาร่วม</t>
  </si>
  <si>
    <t>1 ภาระงาน ต่อสัปดาห์ ต่อ 1 โครงงาน</t>
  </si>
  <si>
    <t>0.5 ภาระงาน ต่อสัปดาห์ ต่อ 1 โครงงาน</t>
  </si>
  <si>
    <t>การเป็นอาจารย์ที่ปรึกษาวิทยานิพนธ์</t>
  </si>
  <si>
    <t>1.5 ภาระงาน ต่อสัปดาห์ ต่อนักศึกษา 1 คน</t>
  </si>
  <si>
    <t>0.5 ภาระงาน ต่อสัปดาห์ ต่อนักศึกษา 1 คน</t>
  </si>
  <si>
    <t xml:space="preserve">งานสอนในรายวิชาฝึกปฏิบัติ (practicum)/ ภาคสนาม/รายวิชาอื่นที่คล้ายคลึงกัน </t>
  </si>
  <si>
    <t xml:space="preserve">ต่อนักศึกษา 1 คน </t>
  </si>
  <si>
    <t>หมวดที่ 3 ภาระงานวิจัยและวิชาการอื่น ข้อ 13 (3)- ข้อ 13 (7)</t>
  </si>
  <si>
    <t>การวิจัยในชั้นเรียน</t>
  </si>
  <si>
    <t>ภาคการศึกษาที่นับได้</t>
  </si>
  <si>
    <t>การคิดภาระงานให้อยู่ในดุลยพินิจของคณะวิชา หรือ หน่วยงานต้นสังกัด คิดได้ไม่เกิน 7 ภาระงาน/สัปดาห์/1 ผลงงาน</t>
  </si>
  <si>
    <t>3 ภาระงาน/ สัปดาห์/ 1 โครงงาน</t>
  </si>
  <si>
    <t>ไม่เกิน 4 ภาคการศึกษาปกติ</t>
  </si>
  <si>
    <t>หมวดที่ 4 ข้อ 15 การคิดสัดส่วนภาระงานบริการวิชาการรับใช้สังคม และ/หรือ งานบริการวิชาการที่หารายได้ นับเฉพาะงานที่ได้รับความเห็นชอบจากมหาวิทยาลัย และอาจารย์ต้องไม่ได้รับค่าตอบแทนอย่างใด ๆ</t>
  </si>
  <si>
    <t>นับได้ 1 ภาคการศึกษา</t>
  </si>
  <si>
    <t>2 ภาระงาน/ สัปดาห์/ 1 ผลงาน</t>
  </si>
  <si>
    <t>ให้อยู่ในดุลยพินิจของคณะวิชาหรือหน่วยงานต้นสังกัด ไม่เกิน 7 ภาระงาน/สัปดาห์/1 ผลงาน</t>
  </si>
  <si>
    <t xml:space="preserve">การเผยแพร่ผลงานวิจัยและ/หรือผลงานวิชาการ </t>
  </si>
  <si>
    <t>งานวิจัยและ/ หรือ ผลงานวิชาการที่ได้รับรางวัล</t>
  </si>
  <si>
    <t>3 ภาระงาน/ สัปดาห์/ 1 ผลงาน</t>
  </si>
  <si>
    <t>5 ภาระงาน/ สัปดาห์/ 1 ผลงาน</t>
  </si>
  <si>
    <t xml:space="preserve"> มีการจดสิทธิบัตร</t>
  </si>
  <si>
    <t xml:space="preserve"> รางวัลระดับชาติ</t>
  </si>
  <si>
    <t xml:space="preserve"> รางวัลระดับนานาชาติ</t>
  </si>
  <si>
    <t>หัวหน้า/ผู้รับผิดชอบหลัก/เลขานุการ โครงการบริการวิชาการ</t>
  </si>
  <si>
    <t>ผู้รับผิดชอบ/คณะทำงานร่วมโครงการบริการวิชาการ</t>
  </si>
  <si>
    <t>เป็นกรรมการสอบโครงร่างการค้นคว้าอิสระ/วิทยานิพนธ์ภายนอก</t>
  </si>
  <si>
    <t>เป็นกรรมการสอบการค้นคว้าอิสระ/วิทยานิพนธ์ภายนอก</t>
  </si>
  <si>
    <t>ต่อ 1 โครงร่าง</t>
  </si>
  <si>
    <t>ต่อ 1 ผลงาน</t>
  </si>
  <si>
    <t>นับได้ตามช่วงเวลาที่ได้รับการแต่งตั้ง</t>
  </si>
  <si>
    <t xml:space="preserve">                        ลักษณะของงาน</t>
  </si>
  <si>
    <t>ต่อการเป็นกรรมการ 1 ครั้ง</t>
  </si>
  <si>
    <t>เป็นกรรมการผู้ทรงคุณวุฒิเพื่อพิจารณาแต่งตั้งบุคคลให้ดำรงตำแหน่งทางวิชาการ</t>
  </si>
  <si>
    <t>เป็นวิทยากรภายในสถาบัน</t>
  </si>
  <si>
    <t>เป็นวิทยากรภายนอกสถาบัน</t>
  </si>
  <si>
    <t>งานบริการวิชาการตามข้อกำหนดของสภาวิชาชีพ</t>
  </si>
  <si>
    <t>ให้เป็นไปตามดุลยพินิจของผู้บริหารในหน่วยงานนั้น ๆ</t>
  </si>
  <si>
    <t>ต่อการบรรยาย 1 ชั่วโมง</t>
  </si>
  <si>
    <t>ไม่เกิน 0.5</t>
  </si>
  <si>
    <t>ไม่เกิน 0.2</t>
  </si>
  <si>
    <t>หมวดที่ 5 ข้อ 18 การคิดสัดส่วนภาระงานทำนุบำรุงศิลปวัฒนธรรมและ/หรืองานพัฒนานักศึกษา</t>
  </si>
  <si>
    <t>หัวหน้า/ผู้รับผิดชอบหลัก/เลขานุการ โครงการทำนุบำรุงศิลปวัฒนธรรม</t>
  </si>
  <si>
    <t>ผู้รับผิดชอบ/คณะทำงานร่วมโครงการทำนุบำรุงศิลปวัฒนธรรม</t>
  </si>
  <si>
    <t>การเข้าร่วมกิจกรรมทำนุบำรุงศิลปวัฒนธรรม</t>
  </si>
  <si>
    <t>หัวหน้า/ผู้รับผิดชอบหลัก/เลขานุการ โครงการพัฒนานักศึกษา (เสริมหลักสูตรและนอกหลักสูตร)</t>
  </si>
  <si>
    <t>ผู้รับผิดชอบ/คณะทำงานร่วมโครงการโครงการพัฒนานักศึกษา (เสริมหลักสูตรและนอกหลักสูตร)</t>
  </si>
  <si>
    <t>การเข้าร่วมโครงการพัฒนานักศึกษา</t>
  </si>
  <si>
    <t>อาจารย์ที่ปรึกษาสโมสรนักศึกษาของมหาวิทยาลัย/คณะ</t>
  </si>
  <si>
    <t>อาจารย์ที่ปรึกษาชมรม หรือโครงการ</t>
  </si>
  <si>
    <t>ประธานวิชา/ ผู้ประสานงานวิชา</t>
  </si>
  <si>
    <t>การคิดภาระงานให้ได้ไม่เกิน 18 ภาระงาน/สัปดาห์ ทั้งนี้ ให้นำเสนอสายบังคับบัญชา ตามลำดับ เพื่อขออนุมัติจากอธิการบดีต่อไป</t>
  </si>
  <si>
    <t xml:space="preserve">คณะกรรมการอื่นที่แต่งตั้งโดยคณะวิชา/ ฝ่ายต่าง ๆ </t>
  </si>
  <si>
    <t xml:space="preserve">ภาระงานที่ได้รับมอบหมายให้เป็นผู้ประเมินคุณภาพภายใน                </t>
  </si>
  <si>
    <t>หมวดที่ 6 ข้อ 20 การคิดสัดส่วนภาระงานอื่น ๆ ที่สอดคล้องกับพันธกิจของมหาวิทยาลัย/ คณะวิชา</t>
  </si>
  <si>
    <t>มี</t>
  </si>
  <si>
    <t>ไม่มี</t>
  </si>
  <si>
    <t>ภาระงานที่ได้รับมอบหมายจากสภามหาวิทยาลัย/ มหาวิทยาลัย                 -หัวหน้า/ผู้รับผิดชอบ/ประธานกรรมการ/ประธานอนุกรรมการ/เลขานุการ</t>
  </si>
  <si>
    <t xml:space="preserve"> -ผู้รับผิดชอบร่วม/คณะทำงาน/กรรมการ/อนุกรรมการ </t>
  </si>
  <si>
    <t>กรณีเป็นอาจารย์ผู้รับผิดชอบหลักสูตรโดยไม่ได้เป็นกรรมการบริการประจำหลักสูตร</t>
  </si>
  <si>
    <t xml:space="preserve">คณะกรรมการบริหารประจำหลักสูตร </t>
  </si>
  <si>
    <t>ให้เป็นไปตามดุลยพินิจของผู้บริหารในหน่วยงานนั้น ๆ โดยไม่เกิน 5 ภาระงาน/สัปดาห์</t>
  </si>
  <si>
    <t xml:space="preserve"> - กรรมการ</t>
  </si>
  <si>
    <t>คณะกรรมการประกันคุณภาพการศึกษา
           -ประธาน/เลขานุการ</t>
  </si>
  <si>
    <t xml:space="preserve"> - เลขานุการ</t>
  </si>
  <si>
    <t>(1) คณะกรรมการประเมินคุณภาพพายในระดับหลักสูตร</t>
  </si>
  <si>
    <t xml:space="preserve"> - ผู้สังเกตการณ์</t>
  </si>
  <si>
    <t>ต่อหลักสูตร</t>
  </si>
  <si>
    <t xml:space="preserve"> - ประธาน</t>
  </si>
  <si>
    <t xml:space="preserve"> - เลขานุการ </t>
  </si>
  <si>
    <t>(2) คณะกรรมการประเมินคุณภาพภายในระดับคณะวิชา/วิทยาลัย</t>
  </si>
  <si>
    <t>ต่อคณะวิชา/ วิทยาลัย</t>
  </si>
  <si>
    <t>(3) คณะกรรมการประเมินคุณภาพภายในระดับฝ่าย</t>
  </si>
  <si>
    <t>ต่อกรรมการ 1 ชุด</t>
  </si>
  <si>
    <t xml:space="preserve">(4) คณะกรรมการประเมินคุณภาพภายในระดับสโมสรนักศึกษา                                                                    </t>
  </si>
  <si>
    <t>ต่อสโมสรนักศึกษา</t>
  </si>
  <si>
    <t xml:space="preserve"> - กรรมการสมทบ</t>
  </si>
  <si>
    <t>คณะกรรมการจริยธรรมการวิจัยในคน</t>
  </si>
  <si>
    <t>ประกาศสภามหาวิทยาลัย เรื่อง หลักเกณฑ์การคิดภาระงานและการเทียบภาระการสอนของผู้บริหาร</t>
  </si>
  <si>
    <t>5. การคิดสัดส่วนภาระงานอื่น ๆ ที่สอดคล้องกับพันธกิจของมหาวิทยาลัย / คณะวิชา (ตามประกาศฯ หมวดที่ 6 ข้อ 20)</t>
  </si>
  <si>
    <t>รายการภาระงานอื่น ๆ ที่สอดคล้องกับพันธกิจของมหาวิทยาลัย / คณะวิชา</t>
  </si>
  <si>
    <r>
      <t>ลักษณะของงาน (</t>
    </r>
    <r>
      <rPr>
        <sz val="9"/>
        <color theme="1"/>
        <rFont val="Wingdings"/>
        <charset val="2"/>
      </rPr>
      <t>ü</t>
    </r>
    <r>
      <rPr>
        <sz val="9"/>
        <color theme="1"/>
        <rFont val="Tahoma"/>
        <family val="2"/>
        <charset val="222"/>
      </rPr>
      <t>)</t>
    </r>
  </si>
  <si>
    <t>รวมภาระงานอื่น ๆ ที่สอดคล้องกับพันธกิจของมหาวิทยาลัย / คณะวิชา</t>
  </si>
  <si>
    <t>ภาระงานของอาจารย์</t>
  </si>
  <si>
    <t>ภาระงาน / สัปดาห์</t>
  </si>
  <si>
    <t>รวมภาระงานสอนกรณีที่อาจารย์ผู้สอนหลักสูตรไทยไปสอนหลักสูตรนานาชาติ</t>
  </si>
  <si>
    <t>จำนวนโครงการ / โครงร่าง/ผลงาน/…</t>
  </si>
  <si>
    <t>รวมภาระงานทั้งหมด (ภาระงาน/สัปดาห์)</t>
  </si>
  <si>
    <t>ประจำปีการศึกษา…………………………………..</t>
  </si>
  <si>
    <t>งานบริการวิชาการ</t>
  </si>
  <si>
    <t>ภาระงานอื่น ๆ ที่สอดคล้องกับพันธกิจของมหาวิทยาลัย / คณะวิชา</t>
  </si>
  <si>
    <t>ภาระงานวิจัย และงานวิชาการอื่น</t>
  </si>
  <si>
    <t>(นับเพิ่มอีก 1 ภาระงาน)</t>
  </si>
  <si>
    <t>(นับเพิ่มอีก 2 ภาระงาน)</t>
  </si>
  <si>
    <t>(นับเพิ่มอีก 3 ภาระงาน)</t>
  </si>
  <si>
    <t>ชั่วโมงสอนตลอดภาคการศึกษา</t>
  </si>
  <si>
    <t>งานสอนในระบบคลังหน่วยกิต</t>
  </si>
  <si>
    <t>ชื่อวิชา / โครงการ</t>
  </si>
  <si>
    <t>งานสอนลักษณะพิเศษ</t>
  </si>
  <si>
    <t>ตามหลักเกณฑ์การกำหนดภาระงานของคณาจารย์มหาวิทยาลัยพายัพ พ.ศ. 2564</t>
  </si>
  <si>
    <t>มีผลการวิชาการ</t>
  </si>
  <si>
    <t>มีตำแหน่งบริหาร</t>
  </si>
  <si>
    <t>เป็นผู้ได้รับมอบหมายให้รับผิดชอบงานอื่นโดยไม่มีตำแหน่งบริหาร</t>
  </si>
  <si>
    <t>อื่น ๆ โปรดระบุ</t>
  </si>
  <si>
    <t>สาขาวิชาการบริหารการศึกษา</t>
  </si>
  <si>
    <t>สาขาวิชาธุรกิจดิจิทัลและเทคโนโลยีทางการเงิน</t>
  </si>
  <si>
    <t>บัณฑิตวิทยาลัย (Graduate School)</t>
  </si>
  <si>
    <t>คิดภาระงานได้</t>
  </si>
  <si>
    <t>3.2 งานบริการวิชาการที่ได้รับความเห็นชอบหรืออนุมัติให้ดำเนินการจากมหาวิทยาลัยโดยมีแหล่งทุนจากภายนอก (ตามประกาศฯ หมวดที่ 4 ข้อ 15 (12))</t>
  </si>
  <si>
    <t>คณะบริหารธุรกิจ (Faculty of Business Administration)</t>
  </si>
  <si>
    <t>คณะบัญชี และธุรกิจดิจิทัล (Faculty of Accountancy and Digital Business)</t>
  </si>
  <si>
    <t>สำนักนวัตกรรมการสอนและการศึกษาทั่วไป</t>
  </si>
  <si>
    <t>สำนักวิจัยและบริการวิชาการ</t>
  </si>
  <si>
    <t>สำนักนวัตกรรมการสอนและการศึกษาทั่วไป (Teaching Innovation and General Education Affair)</t>
  </si>
  <si>
    <t>1 ภาระงานต่อสัปดาห์ ต่อ 1 โครงงาน</t>
  </si>
  <si>
    <r>
      <t xml:space="preserve">ให้นับเพิ่มอีก  1 ภาระงานต่อสัปดาห์ ต่อรายวิชาที่เพิ่ม </t>
    </r>
    <r>
      <rPr>
        <b/>
        <sz val="10"/>
        <color rgb="FFFF0000"/>
        <rFont val="Tahoma"/>
        <family val="2"/>
      </rPr>
      <t>โดยนับตั้งแต่รายวิชาที่ 3 ขึ้นไป</t>
    </r>
  </si>
  <si>
    <r>
      <t>อาจารย์ผู้สอนหลักสูตรไทย</t>
    </r>
    <r>
      <rPr>
        <b/>
        <sz val="10"/>
        <color rgb="FFFF0000"/>
        <rFont val="Tahoma"/>
        <family val="2"/>
      </rPr>
      <t xml:space="preserve">ไปสอนในรายวิชาของหลักสูตรนานาชาติ </t>
    </r>
  </si>
  <si>
    <r>
      <t>อาจารย์ผู้สอนหลักสูตรไทย</t>
    </r>
    <r>
      <rPr>
        <b/>
        <sz val="10"/>
        <color rgb="FFFF0000"/>
        <rFont val="Tahoma"/>
        <family val="2"/>
      </rPr>
      <t>ในรายวิชาที่มีนักศึกษาต่างชาติลงทะเบียนเรียน</t>
    </r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</si>
  <si>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2</t>
    </r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</si>
  <si>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1.5</t>
    </r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</si>
  <si>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2.5</t>
    </r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</si>
  <si>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3.0</t>
    </r>
  </si>
  <si>
    <r>
      <t xml:space="preserve">นำจำนวน ชม.รวมทั้งหมด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1.5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>15</t>
    </r>
  </si>
  <si>
    <r>
      <rPr>
        <b/>
        <sz val="10"/>
        <color rgb="FF0000FF"/>
        <rFont val="Tahoma"/>
        <family val="2"/>
      </rPr>
      <t>ให้อยู่ในดุลยพินิจของคณะวิชา</t>
    </r>
    <r>
      <rPr>
        <sz val="10"/>
        <rFont val="Tahoma"/>
        <family val="2"/>
        <charset val="222"/>
      </rPr>
      <t>โดยให้คณะวิชาเป็นผู้กำหนดเกณฑ์ แต่ไม่เกิน 2 ภาระงานต่อสัปดาห์</t>
    </r>
  </si>
  <si>
    <r>
      <rPr>
        <b/>
        <sz val="10"/>
        <color rgb="FF0000FF"/>
        <rFont val="Tahoma"/>
        <family val="2"/>
      </rPr>
      <t>ให้อยู่ในดุลยพินิจของคณะวิชา</t>
    </r>
    <r>
      <rPr>
        <sz val="10"/>
        <rFont val="Tahoma"/>
        <family val="2"/>
        <charset val="222"/>
      </rPr>
      <t>โดยให้คณะวิชาเป็นผู้กำหนดเกณฑ์ แต่ไม่เกิน 6 ภาระงานต่อสัปดาห์</t>
    </r>
  </si>
  <si>
    <r>
      <t xml:space="preserve">นำจำนวน ชั่วโมงที่ไปนิเทศงานจริงรวมทั้งหมดในรายวิชา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1.5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>15</t>
    </r>
  </si>
  <si>
    <r>
      <t xml:space="preserve">งานสอนในระบบคลังหน่วยกิต </t>
    </r>
    <r>
      <rPr>
        <b/>
        <sz val="10"/>
        <color rgb="FFFF0000"/>
        <rFont val="Tahoma"/>
        <family val="2"/>
      </rPr>
      <t>(หมายเหตุ : ให้คิดเฉพาะกรณีการจัดการเรียนการสอนเป็นการเฉพาะ)</t>
    </r>
  </si>
  <si>
    <t>ข้อ 13 การคิดสัดส่วนภาระวิจัยและงานวิชาการอื่น ให้คิดตามเกณฑ์ดังนี้</t>
  </si>
  <si>
    <r>
      <t xml:space="preserve">ข้อ 13 (1) กรณีที่งานวิจัยและ/หรืองานวิชาการ ที่ได้รับความเห็นชอบหรืออนุมัติให้ดำเนินการจากมหาวิทยาลัย </t>
    </r>
    <r>
      <rPr>
        <b/>
        <sz val="10"/>
        <color rgb="FFFF0000"/>
        <rFont val="Tahoma"/>
        <family val="2"/>
      </rPr>
      <t>นับได้ไม่เกินระยะเวลาดำเนินการของโครงการตามที่ได้รับ</t>
    </r>
    <r>
      <rPr>
        <b/>
        <u/>
        <sz val="10"/>
        <color rgb="FFFF0000"/>
        <rFont val="Tahoma"/>
        <family val="2"/>
      </rPr>
      <t>อนุมัติครั้งแรก</t>
    </r>
  </si>
  <si>
    <r>
      <rPr>
        <b/>
        <sz val="10"/>
        <color rgb="FFFF0000"/>
        <rFont val="Tahoma"/>
        <family val="2"/>
      </rPr>
      <t>ระยะเวลาดำเนินการของโครงการตามที่ได้รับ</t>
    </r>
    <r>
      <rPr>
        <b/>
        <u/>
        <sz val="10"/>
        <color rgb="FFFF0000"/>
        <rFont val="Tahoma"/>
        <family val="2"/>
      </rPr>
      <t>อนุมัติครั้งแรก</t>
    </r>
    <r>
      <rPr>
        <b/>
        <sz val="10"/>
        <color rgb="FFFF0000"/>
        <rFont val="Tahoma"/>
        <family val="2"/>
      </rPr>
      <t xml:space="preserve"> </t>
    </r>
    <r>
      <rPr>
        <sz val="10"/>
        <rFont val="Tahoma"/>
        <family val="2"/>
        <charset val="222"/>
      </rPr>
      <t>โดยคิดตามร้อยละของการมีส่วนร่วมในโครงการ หรือตามสัดส่วนของทุนวิจัยที่อาจารย์มีส่วนร่วม</t>
    </r>
  </si>
  <si>
    <r>
      <t>การผลิตผลงานวิชาการ</t>
    </r>
    <r>
      <rPr>
        <b/>
        <sz val="10"/>
        <color rgb="FFFF0000"/>
        <rFont val="Tahoma"/>
        <family val="2"/>
      </rPr>
      <t>เพื่อใช้ประเมินผลการสอนประกอบการเข้าสู่ตำแหน่งทางวิชาการ</t>
    </r>
    <r>
      <rPr>
        <sz val="10"/>
        <rFont val="Tahoma"/>
        <family val="2"/>
        <charset val="222"/>
      </rPr>
      <t xml:space="preserve"> เช่น เอกสารประกอบการสอน การผลิตนวัตกรรม หรือ สื่อการสอน หรือชุดการสอน หรือสิ่งประดิษฐ์ หรือผลงานอื่นในลักษณะเดียวกัน</t>
    </r>
  </si>
  <si>
    <r>
      <t xml:space="preserve"> ใน</t>
    </r>
    <r>
      <rPr>
        <b/>
        <sz val="10"/>
        <color rgb="FFFF0000"/>
        <rFont val="Tahoma"/>
        <family val="2"/>
      </rPr>
      <t>ระดับชาติ</t>
    </r>
    <r>
      <rPr>
        <sz val="10"/>
        <rFont val="Tahoma"/>
        <family val="2"/>
        <charset val="222"/>
      </rPr>
      <t xml:space="preserve"> ตามประกาศของ กกอ.ฯ</t>
    </r>
  </si>
  <si>
    <r>
      <t xml:space="preserve"> ใน</t>
    </r>
    <r>
      <rPr>
        <b/>
        <sz val="10"/>
        <color rgb="FFFF0000"/>
        <rFont val="Tahoma"/>
        <family val="2"/>
      </rPr>
      <t>ระดับนานาชาติ</t>
    </r>
    <r>
      <rPr>
        <sz val="10"/>
        <rFont val="Tahoma"/>
        <family val="2"/>
        <charset val="222"/>
      </rPr>
      <t xml:space="preserve"> ตามประกาศของ กกอ.ฯ</t>
    </r>
  </si>
  <si>
    <r>
      <t>ผลงานวิชาการประเภทอื่น ๆ</t>
    </r>
    <r>
      <rPr>
        <b/>
        <sz val="10"/>
        <color rgb="FFFF0000"/>
        <rFont val="Tahoma"/>
        <family val="2"/>
      </rPr>
      <t xml:space="preserve"> ตามประกาศของ กกอ. เรื่องหลักเกณฑ์และวิธีการพิจารณาแต่งตั้งบุคคลให้ดำรงตำแหน่งฯ</t>
    </r>
    <r>
      <rPr>
        <sz val="10"/>
        <rFont val="Tahoma"/>
        <family val="2"/>
        <charset val="222"/>
      </rPr>
      <t xml:space="preserve"> อาทิ หนังสือ ตำรา งานแปล ซอฟต์แวร์ ผลงานสร้างสรรค์ด้านวิทยาศาสตร์ ผลงานสร้างสรรค์ด้านสุนทรียะ ผลงานวิชาการเพื่อพัฒนานโยบายสาธารณะ ผลงานวิชาการรับใช้สังคม ฯลฯ</t>
    </r>
  </si>
  <si>
    <t>เป็นผู้ทรงคุณวุฒิ พิจารณาผลงานวิจัย/ งานสร้างสรรค์/ บทความวิชาการ</t>
  </si>
  <si>
    <r>
      <t>หมวดที่ 4 ข้อ 12 (12) กรณีที่งานบริการวิชาการซึ่งได้รับความคิดเห็นชอบหรืออนุมัติให้ดำเนินการจากมหาวิทยาลัย</t>
    </r>
    <r>
      <rPr>
        <b/>
        <sz val="10"/>
        <color rgb="FFFF0000"/>
        <rFont val="Tahoma"/>
        <family val="2"/>
      </rPr>
      <t>โดยมีแหล่งทุนจากภายนอก</t>
    </r>
    <r>
      <rPr>
        <sz val="10"/>
        <rFont val="Tahoma"/>
        <family val="2"/>
        <charset val="222"/>
      </rPr>
      <t xml:space="preserve"> ให้นับภาระงานได้ไม่เกิน</t>
    </r>
  </si>
  <si>
    <r>
      <rPr>
        <b/>
        <sz val="10"/>
        <color rgb="FFFF0000"/>
        <rFont val="Tahoma"/>
        <family val="2"/>
      </rPr>
      <t>ระยะเวลาดำเนินการของโครงการฯ ตามที่ได้รับ</t>
    </r>
    <r>
      <rPr>
        <b/>
        <u/>
        <sz val="10"/>
        <color rgb="FFFF0000"/>
        <rFont val="Tahoma"/>
        <family val="2"/>
      </rPr>
      <t>อนุมัติครั้งแรก</t>
    </r>
    <r>
      <rPr>
        <sz val="10"/>
        <rFont val="Tahoma"/>
        <family val="2"/>
        <charset val="222"/>
      </rPr>
      <t xml:space="preserve"> โดยคิดตามสัดส่วนของงบประมาณที่ได้รับและจำนวนผู้รับผิดชอบโครงการ</t>
    </r>
  </si>
  <si>
    <t>ร่วม</t>
  </si>
  <si>
    <t>กรรมการสอบ</t>
  </si>
  <si>
    <r>
      <t>1.4 งานสอนกรณีที่อาจารย์ผู้สอนหลักสูตรไทย</t>
    </r>
    <r>
      <rPr>
        <b/>
        <sz val="10"/>
        <color rgb="FFFF0000"/>
        <rFont val="Calibri"/>
        <family val="2"/>
        <scheme val="minor"/>
      </rPr>
      <t xml:space="preserve">ไปสอนหลักสูตรนานาชาติ </t>
    </r>
    <r>
      <rPr>
        <sz val="10"/>
        <color theme="1"/>
        <rFont val="Calibri"/>
        <family val="2"/>
        <charset val="222"/>
        <scheme val="minor"/>
      </rPr>
      <t>(งานสอนแบบบรรยาย) (ตามประกาศฯ หมวดที่ 2 ข้อ 11 (2))</t>
    </r>
  </si>
  <si>
    <t>วิทยานิพนธ์</t>
  </si>
  <si>
    <r>
      <t xml:space="preserve">1.2 งานสอนลักษณะพิเศษ (งานสอนในระบบคลังหน่วยกิต และงานสอนในหลักสูตรระยะสั้น (ตามประกาศฯ หมวดที่ 2 ข้อ 9.2 (1), 9.2 (2)) </t>
    </r>
    <r>
      <rPr>
        <b/>
        <sz val="10"/>
        <color rgb="FFFF0000"/>
        <rFont val="Calibri"/>
        <family val="2"/>
        <scheme val="minor"/>
      </rPr>
      <t>**การคิดภาระงานคลังหน่วยกิตนับให้เฉพาะการเปิดเป็นการเฉพาะเท่านั้น</t>
    </r>
  </si>
  <si>
    <t>Information technology</t>
  </si>
  <si>
    <t>สาขาวิชากัญชาศาสตร์และพืชสมุนไพร</t>
  </si>
  <si>
    <t>สาขาวิชาภาษาจีนธุรกิจ</t>
  </si>
  <si>
    <t>สาขาวิชานวัตกรรมธุรกิจอาหาร</t>
  </si>
  <si>
    <t>คณะ</t>
  </si>
  <si>
    <t>ระดับ</t>
  </si>
  <si>
    <t>ปริญญาตรี</t>
  </si>
  <si>
    <t>ปริญญาโท</t>
  </si>
  <si>
    <t>ปริญญาเอก</t>
  </si>
  <si>
    <t>x(x-x-x)</t>
  </si>
  <si>
    <t>ส่วนร่วม</t>
  </si>
  <si>
    <t>ใช่/ไม่ใช่</t>
  </si>
  <si>
    <t>ปฎิบัติ</t>
  </si>
  <si>
    <t>คิดเป็นภาระงาน(ภาระงาน/สัปดาห์)</t>
  </si>
  <si>
    <t>XX111</t>
  </si>
  <si>
    <t>adacd</t>
  </si>
  <si>
    <t>3(3-0-6)</t>
  </si>
  <si>
    <t>ไม่ใช่</t>
  </si>
  <si>
    <t>ป.ตรี</t>
  </si>
  <si>
    <t>ป.โท</t>
  </si>
  <si>
    <t>ป.เอก</t>
  </si>
  <si>
    <t>XX112</t>
  </si>
  <si>
    <t>3(2-2-5)</t>
  </si>
  <si>
    <t>XX513</t>
  </si>
  <si>
    <t>XX714</t>
  </si>
  <si>
    <t>ใช่</t>
  </si>
  <si>
    <t>1(1-0-2)</t>
  </si>
  <si>
    <t>2(2-0-4)</t>
  </si>
  <si>
    <t>4(4-0-8)</t>
  </si>
  <si>
    <t>XX115</t>
  </si>
  <si>
    <t>XX116</t>
  </si>
  <si>
    <t>xxxx</t>
  </si>
  <si>
    <t>หลักสูตรระยะสั้นที่มีการจัดการเรียนการสอนในปีการศึกษา</t>
  </si>
  <si>
    <r>
      <t xml:space="preserve">1.3 งานสอนที่มีลักษณะพิเศษ (ตามประกาศฯ หมวดที่ 2 ข้อ 9.2 (3), 9.2 (4), 9.2 (5) </t>
    </r>
    <r>
      <rPr>
        <b/>
        <sz val="10"/>
        <color theme="1"/>
        <rFont val="Calibri"/>
        <family val="2"/>
        <scheme val="minor"/>
      </rPr>
      <t>(ปริญญาตรี)</t>
    </r>
  </si>
  <si>
    <t>จำนวนสารนิพนธ์/ค้นคว้าอิสระ/โครงงาน/รายวิชาอื่นที่มีลักษณะคล้ายกัน</t>
  </si>
  <si>
    <t>ที่ปรึกษาหลัก/ร่วม</t>
  </si>
  <si>
    <t>หลัก</t>
  </si>
  <si>
    <t>ตามระยะทาง</t>
  </si>
  <si>
    <t>จำนวนชั่วโมง</t>
  </si>
  <si>
    <r>
      <t xml:space="preserve">จำนวนแหล่งฝึกทีมีระยะทาง </t>
    </r>
    <r>
      <rPr>
        <sz val="9"/>
        <color theme="1"/>
        <rFont val="Calibri"/>
        <family val="2"/>
      </rPr>
      <t>≥</t>
    </r>
    <r>
      <rPr>
        <sz val="9"/>
        <color theme="1"/>
        <rFont val="Tahoma"/>
        <family val="2"/>
      </rPr>
      <t xml:space="preserve"> 100 กม.</t>
    </r>
  </si>
  <si>
    <r>
      <t xml:space="preserve">จำนวนแหล่งฝึกทีมีระยะทาง </t>
    </r>
    <r>
      <rPr>
        <sz val="9"/>
        <color theme="1"/>
        <rFont val="Calibri"/>
        <family val="2"/>
      </rPr>
      <t>&lt;</t>
    </r>
    <r>
      <rPr>
        <sz val="9"/>
        <color theme="1"/>
        <rFont val="Tahoma"/>
        <family val="2"/>
      </rPr>
      <t xml:space="preserve"> 100 กม.</t>
    </r>
  </si>
  <si>
    <r>
      <t xml:space="preserve">ระยะทาง </t>
    </r>
    <r>
      <rPr>
        <sz val="9"/>
        <color theme="1"/>
        <rFont val="Calibri"/>
        <family val="2"/>
      </rPr>
      <t>&lt;</t>
    </r>
    <r>
      <rPr>
        <sz val="9"/>
        <color theme="1"/>
        <rFont val="Tahoma"/>
        <family val="2"/>
      </rPr>
      <t xml:space="preserve"> 100 กม.</t>
    </r>
  </si>
  <si>
    <r>
      <t xml:space="preserve">ระยะทาง </t>
    </r>
    <r>
      <rPr>
        <sz val="9"/>
        <color theme="1"/>
        <rFont val="Calibri"/>
        <family val="2"/>
      </rPr>
      <t>≥</t>
    </r>
    <r>
      <rPr>
        <sz val="9"/>
        <color theme="1"/>
        <rFont val="Tahoma"/>
        <family val="2"/>
      </rPr>
      <t xml:space="preserve"> 100 กม.</t>
    </r>
  </si>
  <si>
    <t>XX499</t>
  </si>
  <si>
    <t>โครงงานทาง...</t>
  </si>
  <si>
    <t>สหกิจศึกษา</t>
  </si>
  <si>
    <t>XX495</t>
  </si>
  <si>
    <t>อาจารย์ผู้ประสานงาน (1)</t>
  </si>
  <si>
    <t>อาจารย์นิเทศ (2)</t>
  </si>
  <si>
    <t>(1) อาจารย์ผู้ประสานงาน ให้อยู่ในดุลยพินิจของคณะวิชาแต่ไม่เกิน 2 ภาระงานต่อสัปดาห์</t>
  </si>
  <si>
    <t>(2) อาจารย์นิเทศ ให้อยู่ในดุลยพินิจของคณะวิชาแต่ไม่เกิน 6 ภาระงานต่อสัปดาห์</t>
  </si>
  <si>
    <t>XX395</t>
  </si>
  <si>
    <t>ฝึกปฎิบัติทาง</t>
  </si>
  <si>
    <t>ภาระงานตามคณะกำหนด (3)</t>
  </si>
  <si>
    <t>(3) ให้อยู่ในดุลยพินิจของคณะวิชา</t>
  </si>
  <si>
    <r>
      <t xml:space="preserve">10.2 งานสอนที่มีลักษณะพิเศษ </t>
    </r>
    <r>
      <rPr>
        <b/>
        <sz val="10"/>
        <color theme="1"/>
        <rFont val="Calibri"/>
        <family val="2"/>
        <scheme val="minor"/>
      </rPr>
      <t xml:space="preserve"> (บัณฑิตศึกษา)</t>
    </r>
  </si>
  <si>
    <t>จำนวนงาน</t>
  </si>
  <si>
    <t>ค้นคว้าอิสระ/สารนิพนธ์/วิทยานิพนธ์/ดุษฎีนิพนธ์</t>
  </si>
  <si>
    <t>ค้นคว้าอิสระ/สาระนิพนธ์</t>
  </si>
  <si>
    <t>ดุษฎีนิพนธ์</t>
  </si>
  <si>
    <t>ค้นคว้าอิสระ</t>
  </si>
  <si>
    <t>โครงร่าง</t>
  </si>
  <si>
    <t>สอบปกป้อง</t>
  </si>
  <si>
    <t>XX699</t>
  </si>
  <si>
    <t>XX799</t>
  </si>
  <si>
    <t>XX899</t>
  </si>
  <si>
    <t>รับผิดชอบงานสอนทั้งรายวิชาใน 3 รายวิชาแตกต่างกัน (1)</t>
  </si>
  <si>
    <t>รับผิดชอบงานสอนทั้งรายวิชาใน 4 รายวิชาแตกต่างกัน  (1)</t>
  </si>
  <si>
    <t>รับผิดชอบงานสอนทั้งรายวิชาใน 5 รายวิชาแตกต่างกัน (1)</t>
  </si>
  <si>
    <t>(1) กรณีมีการสอนร่วมกันให้นำรายวิชารวมกันจนครบ 3 หน่วยกิต เท่ากับ 1 วิชา</t>
  </si>
  <si>
    <t>X(X-X-X)</t>
  </si>
  <si>
    <t>รวมภาระงานสอนลักษณะพิเศษ (ปริญญาตรี)</t>
  </si>
  <si>
    <t>รวมภาระงานสอนลักษณะพิเศษ (บัณฑิตศึกษา)</t>
  </si>
  <si>
    <t>ผลงานวิชาการอื่น ๆ ตามประกาศ กกอ. (1)</t>
  </si>
  <si>
    <t>(1) ให้อยู่ในดุลยพินิจของคณะวิชาหรือหน่วยงานต้นสังกัด ไม่เกิน 7 ภาระงานต่อสัปดาห์ และไม่เกิน 4 ภาคการศึกษาปกติ</t>
  </si>
  <si>
    <t>วันที่จัดทำ/เผยแพร่</t>
  </si>
  <si>
    <t>หนังสือ....</t>
  </si>
  <si>
    <t>คิดเป็นภาระงาน</t>
  </si>
  <si>
    <t>อันดับแรก/บรรณกิจ</t>
  </si>
  <si>
    <t>ชาติ</t>
  </si>
  <si>
    <t>นานาชาติ</t>
  </si>
  <si>
    <t>อันดับแรก</t>
  </si>
  <si>
    <t>อื่น</t>
  </si>
  <si>
    <t>อื่นๆ</t>
  </si>
  <si>
    <t>จดอนุสิทธิบัตร</t>
  </si>
  <si>
    <t>คิดภาระงาน</t>
  </si>
  <si>
    <t>…</t>
  </si>
  <si>
    <t>3.1 งานบริการวิชาการรับใช้สังคม (ตามประกาศฯ หมวดที่ 4 ข้อ 15 (1) ถึง ข้อ 15 (13))</t>
  </si>
  <si>
    <t xml:space="preserve">หัวหน้า/ผู้รับผิดชอบหลัก/เลขานุการ โครงการบริการวิชาการ </t>
  </si>
  <si>
    <t>ผู้รับผิดชอบร่วม/คณะทำงานโครงการบริการวิชาการ</t>
  </si>
  <si>
    <t>เป็นกรรมการสอบโครงร่างดุษฎีนิพนธ์ภายนอก</t>
  </si>
  <si>
    <t>เป็นกรรมการสอบดุษฎีนิพนธ์ภายนอก</t>
  </si>
  <si>
    <t xml:space="preserve">เป็นผู้ทรงคุณวุฒิพิจารณาผลงานวิจัย/งานสร้างสรรค์/บทความวิชาการ </t>
  </si>
  <si>
    <t>โครงการ...</t>
  </si>
  <si>
    <t>ลักษณะของงาน (1) - (11)</t>
  </si>
  <si>
    <t>งานบริการวิชาการอื่น (1)</t>
  </si>
  <si>
    <t>(1) ให้อยู่ในดุลยพินิจของคณะวิชา โดยคิดเป็นภาระงาน - ผู้ดำเนินโครงการไม่เกิน 0.5 ภาระงาน/สัปดาห์/ครั้ง - ผู้เข้าร่วมโครงการไม่เกิน 0.2 ภาระงาน/สัปดาห์/ครั้ง</t>
  </si>
  <si>
    <t>ประเภท</t>
  </si>
  <si>
    <t>ผู้ดำเนินโครงการ</t>
  </si>
  <si>
    <r>
      <t>หมายเหตุ: กรณีภาระงานสอนมีสัดส่วนน้อยกว่า 20 ภาระงาน / สัปดาห์ ให้ระบุเหตุผลเพิ่มเติม (</t>
    </r>
    <r>
      <rPr>
        <sz val="10"/>
        <color theme="1"/>
        <rFont val="Wingdings"/>
        <charset val="2"/>
      </rPr>
      <t>ü</t>
    </r>
    <r>
      <rPr>
        <sz val="10"/>
        <color theme="1"/>
        <rFont val="Calibri"/>
        <family val="2"/>
        <charset val="222"/>
        <scheme val="minor"/>
      </rPr>
      <t>)</t>
    </r>
  </si>
  <si>
    <t>ตามหลักเกณฑ์การกำหนดภาระงานของคณาจารย์มหาวิทยาลัยพายัพ พ.ศ. 2566</t>
  </si>
  <si>
    <t>การคิดสัดส่วนภาระงานตามหลักเกณฑ์ว่าด้วย การกำหนดภาระงานของอาจารย์มหาวิทยาลัยพายัพ พ.ศ. 2566</t>
  </si>
  <si>
    <t xml:space="preserve">ให้บวกภาระงานเพิ่มอีก 
0.02 สำหรับ 1 หน่วยกิต หรือ
0.04 สำหรับ 2 หน่วยกิต หรือ
0.06 สำหรับ 3 หน่วยกิต หรือ
0.08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ให้แบ่งส่วนภาระงานที่เพิ่มขึ้นตามจำนวนชั่วโมงที่สอนจริง)* </t>
  </si>
  <si>
    <t xml:space="preserve">
ให้บวกภาระงานเพิ่มอีก 
0.02 สำหรับ 1 หน่วยกิต หรือ
0.04 สำหรับ 2 หน่วยกิต หรือ
0.06 สำหรับ 3 หน่วยกิต หรือ
0.08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</si>
  <si>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>ทั้งนี้อาจารย์ 1 ท่านจะสามารถดูแลโครงงานได้จำนวน 15 โครงงานโดยไม่เกิน 20 โครงงาน</t>
  </si>
  <si>
    <t>0.2 ภาระงานต่อสัปดาห์ ต่อ 1 แหล่งฝึก</t>
  </si>
  <si>
    <t>0.4 ภาระงานต่อสัปดาห์ ต่อ 1 แหล่งฝึก</t>
  </si>
  <si>
    <t>ให้บวกภาระงานเพิ่มอีก 
0.03 สำหรับ 1 หน่วยกิต หรือ
0.05 สำหรับ 2 หน่วยกิต หรือ
0.08 สำหรับ 3 หน่วยกิต หรือ
0.11 สำหรับ 4 หน่วยกิต 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</si>
  <si>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>ให้บวกภาระงานเพิ่มอีก 
0.03 สำหรับ 1 หน่วยกิต หรือ
0.05 สำหรับ 2 หน่วยกิต หรือ
0.08 สำหรับ 3 หน่วยกิต หรือ
0.11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</si>
  <si>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>งานสอนแบบบรรยาย (ระดับปริญญาโท)</t>
  </si>
  <si>
    <t>ให้บวกภาระงานเพิ่มอีก 
0.03 สำหรับ 1 หน่วยกิต หรือ
0.07 สำหรับ 2 หน่วยกิต หรือ
0.10 สำหรับ 3 หน่วยกิต หรือ
0.13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</si>
  <si>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>งานสอนแบบบรรยาย (ระดับปริญญาเอก)</t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</si>
  <si>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4.0</t>
    </r>
  </si>
  <si>
    <t>ให้บวกภาระงานเพิ่มอีก 
0.04 สำหรับ 1 หน่วยกิต หรือ
0.09 สำหรับ 2 หน่วยกิต หรือ
0.13 สำหรับ 3 หน่วยกิต หรือ
0.17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</si>
  <si>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>การเป็นอาจารย์ที่ปรึกษาดุษฎีนิพนธ์</t>
  </si>
  <si>
    <t>3.0 ภาระงาน ต่อสัปดาห์ ต่อนักศึกษา 1 คน</t>
  </si>
  <si>
    <t>1.0 ภาระงาน ต่อสัปดาห์ ต่อนักศึกษา 1 คน</t>
  </si>
  <si>
    <t>การเป็นกรรมการสอบโครงร่างดุษฎีนิพนธ์</t>
  </si>
  <si>
    <t>การเป็นกรรมการสอบดุษฎีนิพนธ์</t>
  </si>
  <si>
    <t>ผู้ประพันธ์อันดับแรก/ผู้ประพันธ์บรรณกิจ</t>
  </si>
  <si>
    <t>4 ภาระงาน/ สัปดาห์/ 1 ผลงาน</t>
  </si>
  <si>
    <t xml:space="preserve"> มีการจดอนุสิทธิบัตร</t>
  </si>
  <si>
    <t xml:space="preserve"> - กรรมการกลาง</t>
  </si>
  <si>
    <t>3 ภาระงาน/สัปดาห์</t>
  </si>
  <si>
    <t>2 ภาระงาน/โครงการ</t>
  </si>
  <si>
    <t>2 ภาระงาน/สัปดาห์</t>
  </si>
  <si>
    <t>1 ภาระงาน/โครงการ</t>
  </si>
  <si>
    <t>รองคณบดี ผู้ช่วยคณบดี ผู้ช่วยผู้อำนวยการ หัวหน้าภาควิชา หัวหน้าสาขาวิชา หัวหน้ากลุ่มวิชา หัวหน้าสำนักงาน หัวหน้างาน หัวหน้าศูนย์ ผู้ช่วยหัวหน้าสาขา</t>
  </si>
  <si>
    <t xml:space="preserve">        สอนแบบบรรยาย (ปริญญาตรี)</t>
  </si>
  <si>
    <t xml:space="preserve">        สอนแบบบรรยาย (บัณฑิตศึกษา)</t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</si>
  <si>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3.5</t>
    </r>
  </si>
  <si>
    <t>ให้บวกภาระงานเพิ่มอีก 
0.04 สำหรับ 1 หน่วยกิต หรือ
0.08 สำหรับ 2 หน่วยกิต หรือ
0.12 สำหรับ 3 หน่วยกิต หรือ
0.16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</si>
  <si>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>อาจารย์ที่ปรึกษานักศึกษาปริญญาตรี ปริญญาโทและปริญญาเอก</t>
  </si>
  <si>
    <t>รวมภาระงาน บริการวิชาการ</t>
  </si>
  <si>
    <t>12345439</t>
  </si>
  <si>
    <t>วิทยาลัยสหวิทยาการ (College for Interdisciplinary Studies)</t>
  </si>
  <si>
    <t>สำนักการศึกษาทั่วไป (General Education Office)</t>
  </si>
  <si>
    <t>บัณฑิตศึกษา วิทยาลัยสหวิทยาการ</t>
  </si>
  <si>
    <t>สาขาวิชาพลังงานทางเลือกและสิ่งแวดล้อม</t>
  </si>
  <si>
    <t>TESOL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</si>
</sst>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51">
    <font>
      <sz val="11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</font>
    <font>
      <sz val="10"/>
      <color theme="1"/>
      <name val="Wingdings"/>
      <charset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22"/>
      <scheme val="minor"/>
    </font>
    <font>
      <sz val="9"/>
      <color theme="1"/>
      <name val="Wingdings"/>
      <charset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charset val="22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Tahoma"/>
      <family val="2"/>
      <charset val="222"/>
    </font>
    <font>
      <sz val="10"/>
      <name val="Calibri"/>
      <family val="2"/>
      <charset val="22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Wingdings"/>
      <charset val="2"/>
    </font>
    <font>
      <sz val="8"/>
      <color theme="1"/>
      <name val="Calibri"/>
      <family val="2"/>
      <scheme val="minor"/>
    </font>
    <font>
      <b/>
      <sz val="9"/>
      <color rgb="FFFF0000"/>
      <name val="TH SarabunPSK"/>
      <family val="2"/>
    </font>
    <font>
      <sz val="10"/>
      <color rgb="FFFF0000"/>
      <name val="Calibri"/>
      <family val="2"/>
      <charset val="222"/>
      <scheme val="minor"/>
    </font>
    <font>
      <sz val="10"/>
      <name val="Tahoma"/>
      <family val="2"/>
    </font>
    <font>
      <sz val="8"/>
      <name val="Calibri"/>
      <family val="2"/>
      <charset val="222"/>
      <scheme val="minor"/>
    </font>
    <font>
      <sz val="7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0"/>
      <color rgb="FFFF0000"/>
      <name val="Tahoma"/>
      <family val="2"/>
    </font>
    <font>
      <b/>
      <sz val="11"/>
      <name val="Tahoma"/>
      <family val="2"/>
      <charset val="222"/>
    </font>
    <font>
      <sz val="11"/>
      <name val="Tahoma"/>
      <family val="2"/>
      <charset val="222"/>
    </font>
    <font>
      <sz val="10"/>
      <name val="Tahoma"/>
      <family val="2"/>
      <charset val="222"/>
    </font>
    <font>
      <sz val="10"/>
      <name val="Symbol"/>
      <family val="1"/>
      <charset val="2"/>
    </font>
    <font>
      <b/>
      <sz val="10"/>
      <color rgb="FF0000FF"/>
      <name val="Tahoma"/>
      <family val="2"/>
    </font>
    <font>
      <b/>
      <sz val="11"/>
      <color rgb="FF0000FF"/>
      <name val="Tahoma"/>
      <family val="2"/>
    </font>
    <font>
      <b/>
      <sz val="10"/>
      <color rgb="FF00B050"/>
      <name val="Tahoma"/>
      <family val="2"/>
    </font>
    <font>
      <b/>
      <u/>
      <sz val="10"/>
      <color rgb="FFFF0000"/>
      <name val="Tahoma"/>
      <family val="2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7"/>
      <color theme="1"/>
      <name val="Calibri Light"/>
      <family val="2"/>
      <scheme val="major"/>
    </font>
    <font>
      <sz val="8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color theme="1"/>
      <name val="Tahoma"/>
      <family val="2"/>
    </font>
    <font>
      <sz val="9"/>
      <color theme="1"/>
      <name val="Calibri"/>
      <family val="2"/>
    </font>
    <font>
      <b/>
      <sz val="8"/>
      <color theme="1"/>
      <name val="Calibri Light"/>
      <family val="2"/>
      <scheme val="major"/>
    </font>
    <font>
      <b/>
      <sz val="8"/>
      <color theme="1"/>
      <name val="Calibri"/>
      <family val="2"/>
      <scheme val="minor"/>
    </font>
    <font>
      <sz val="10"/>
      <color rgb="FFFF0000"/>
      <name val="Tahoma"/>
      <family val="2"/>
      <charset val="222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3F12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DE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43" fontId="27" fillId="0" borderId="0" applyFont="0" applyFill="0" applyBorder="0" applyAlignment="0" applyProtection="0"/>
  </cellStyleXfs>
  <cellXfs count="5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9" fillId="0" borderId="0" xfId="0" applyFont="1"/>
    <xf numFmtId="0" fontId="1" fillId="0" borderId="14" xfId="0" applyFont="1" applyBorder="1"/>
    <xf numFmtId="0" fontId="1" fillId="0" borderId="0" xfId="0" applyFont="1" applyAlignment="1">
      <alignment horizontal="center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7" fillId="0" borderId="28" xfId="1" applyFont="1" applyBorder="1" applyAlignment="1">
      <alignment horizontal="center"/>
    </xf>
    <xf numFmtId="2" fontId="16" fillId="5" borderId="30" xfId="1" applyNumberFormat="1" applyFont="1" applyFill="1" applyBorder="1" applyAlignment="1">
      <alignment horizontal="center"/>
    </xf>
    <xf numFmtId="0" fontId="19" fillId="0" borderId="11" xfId="1" applyFont="1" applyBorder="1" applyAlignment="1">
      <alignment horizontal="center" vertical="center" wrapText="1"/>
    </xf>
    <xf numFmtId="0" fontId="17" fillId="0" borderId="29" xfId="1" applyFont="1" applyBorder="1"/>
    <xf numFmtId="0" fontId="17" fillId="0" borderId="17" xfId="1" applyFont="1" applyBorder="1"/>
    <xf numFmtId="0" fontId="17" fillId="0" borderId="4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7" fillId="0" borderId="33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7" fillId="0" borderId="35" xfId="1" applyFont="1" applyBorder="1" applyAlignment="1">
      <alignment horizontal="center"/>
    </xf>
    <xf numFmtId="2" fontId="16" fillId="5" borderId="32" xfId="1" applyNumberFormat="1" applyFont="1" applyFill="1" applyBorder="1" applyAlignment="1">
      <alignment horizontal="center"/>
    </xf>
    <xf numFmtId="2" fontId="16" fillId="5" borderId="9" xfId="1" applyNumberFormat="1" applyFont="1" applyFill="1" applyBorder="1" applyAlignment="1">
      <alignment horizontal="center"/>
    </xf>
    <xf numFmtId="2" fontId="16" fillId="5" borderId="36" xfId="1" applyNumberFormat="1" applyFont="1" applyFill="1" applyBorder="1" applyAlignment="1">
      <alignment horizontal="center"/>
    </xf>
    <xf numFmtId="0" fontId="1" fillId="0" borderId="9" xfId="0" applyFont="1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5" xfId="0" applyFont="1" applyBorder="1"/>
    <xf numFmtId="0" fontId="4" fillId="0" borderId="0" xfId="0" applyFont="1" applyAlignment="1">
      <alignment vertical="center"/>
    </xf>
    <xf numFmtId="2" fontId="16" fillId="0" borderId="0" xfId="1" applyNumberFormat="1" applyFont="1" applyAlignment="1">
      <alignment horizontal="center"/>
    </xf>
    <xf numFmtId="0" fontId="1" fillId="0" borderId="9" xfId="0" quotePrefix="1" applyFont="1" applyBorder="1" applyAlignment="1">
      <alignment vertical="center" wrapText="1"/>
    </xf>
    <xf numFmtId="0" fontId="1" fillId="0" borderId="6" xfId="0" quotePrefix="1" applyFont="1" applyBorder="1" applyAlignment="1">
      <alignment vertical="center" wrapText="1"/>
    </xf>
    <xf numFmtId="0" fontId="23" fillId="0" borderId="0" xfId="0" applyFont="1"/>
    <xf numFmtId="0" fontId="1" fillId="0" borderId="1" xfId="0" applyFont="1" applyBorder="1" applyAlignment="1">
      <alignment horizontal="center" vertical="center"/>
    </xf>
    <xf numFmtId="0" fontId="19" fillId="5" borderId="26" xfId="1" applyFont="1" applyFill="1" applyBorder="1" applyAlignment="1">
      <alignment horizontal="center" vertical="center" wrapText="1"/>
    </xf>
    <xf numFmtId="0" fontId="17" fillId="0" borderId="0" xfId="1" applyFont="1"/>
    <xf numFmtId="0" fontId="18" fillId="0" borderId="11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9" fillId="4" borderId="24" xfId="1" applyFont="1" applyFill="1" applyBorder="1" applyAlignment="1">
      <alignment vertical="center"/>
    </xf>
    <xf numFmtId="0" fontId="19" fillId="4" borderId="3" xfId="1" applyFont="1" applyFill="1" applyBorder="1" applyAlignment="1">
      <alignment vertical="center"/>
    </xf>
    <xf numFmtId="2" fontId="1" fillId="6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10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11" xfId="0" applyFont="1" applyBorder="1"/>
    <xf numFmtId="0" fontId="1" fillId="0" borderId="13" xfId="0" applyFont="1" applyBorder="1"/>
    <xf numFmtId="0" fontId="30" fillId="0" borderId="0" xfId="0" applyFont="1"/>
    <xf numFmtId="0" fontId="31" fillId="0" borderId="0" xfId="0" applyFont="1"/>
    <xf numFmtId="0" fontId="30" fillId="0" borderId="1" xfId="0" applyFont="1" applyBorder="1" applyAlignment="1">
      <alignment horizontal="center" vertical="center" wrapText="1"/>
    </xf>
    <xf numFmtId="0" fontId="31" fillId="0" borderId="1" xfId="0" quotePrefix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8" xfId="0" applyFont="1" applyBorder="1" applyAlignment="1">
      <alignment horizontal="center"/>
    </xf>
    <xf numFmtId="0" fontId="31" fillId="0" borderId="15" xfId="0" applyFont="1" applyBorder="1" applyAlignment="1">
      <alignment horizontal="left" vertical="center"/>
    </xf>
    <xf numFmtId="0" fontId="31" fillId="0" borderId="16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/>
    </xf>
    <xf numFmtId="0" fontId="31" fillId="0" borderId="9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5" xfId="0" applyFont="1" applyBorder="1"/>
    <xf numFmtId="0" fontId="31" fillId="0" borderId="5" xfId="0" applyFont="1" applyBorder="1" applyAlignment="1">
      <alignment horizontal="left" vertical="center" wrapText="1"/>
    </xf>
    <xf numFmtId="0" fontId="31" fillId="0" borderId="9" xfId="0" applyFont="1" applyBorder="1"/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1" fillId="0" borderId="0" xfId="0" applyFont="1" applyAlignment="1">
      <alignment horizontal="left" vertical="center" wrapText="1"/>
    </xf>
    <xf numFmtId="0" fontId="31" fillId="0" borderId="3" xfId="0" applyFont="1" applyBorder="1" applyAlignment="1">
      <alignment horizontal="center"/>
    </xf>
    <xf numFmtId="0" fontId="31" fillId="0" borderId="10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4" xfId="0" applyFont="1" applyBorder="1" applyAlignment="1">
      <alignment vertical="center" wrapText="1"/>
    </xf>
    <xf numFmtId="0" fontId="31" fillId="0" borderId="3" xfId="0" applyFont="1" applyBorder="1" applyAlignment="1">
      <alignment vertical="center"/>
    </xf>
    <xf numFmtId="0" fontId="31" fillId="0" borderId="1" xfId="0" quotePrefix="1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quotePrefix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1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" xfId="0" quotePrefix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0" xfId="0" quotePrefix="1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0" fontId="31" fillId="0" borderId="1" xfId="0" quotePrefix="1" applyFont="1" applyBorder="1" applyAlignment="1">
      <alignment horizontal="center" vertical="top"/>
    </xf>
    <xf numFmtId="0" fontId="31" fillId="0" borderId="1" xfId="0" applyFont="1" applyBorder="1" applyAlignment="1">
      <alignment vertical="top"/>
    </xf>
    <xf numFmtId="0" fontId="31" fillId="0" borderId="1" xfId="0" applyFont="1" applyBorder="1" applyAlignment="1">
      <alignment horizontal="center" vertical="top"/>
    </xf>
    <xf numFmtId="0" fontId="31" fillId="0" borderId="1" xfId="0" applyFont="1" applyBorder="1" applyAlignment="1">
      <alignment wrapText="1"/>
    </xf>
    <xf numFmtId="0" fontId="24" fillId="0" borderId="5" xfId="0" applyFont="1" applyBorder="1" applyAlignment="1">
      <alignment horizontal="left" vertical="center" wrapText="1"/>
    </xf>
    <xf numFmtId="0" fontId="34" fillId="0" borderId="0" xfId="0" applyFont="1"/>
    <xf numFmtId="0" fontId="33" fillId="0" borderId="0" xfId="0" applyFont="1"/>
    <xf numFmtId="0" fontId="31" fillId="0" borderId="2" xfId="0" quotePrefix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5" fillId="0" borderId="0" xfId="0" applyFont="1"/>
    <xf numFmtId="0" fontId="24" fillId="0" borderId="0" xfId="0" applyFont="1"/>
    <xf numFmtId="0" fontId="24" fillId="0" borderId="0" xfId="0" applyFont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" fillId="6" borderId="0" xfId="0" applyFont="1" applyFill="1"/>
    <xf numFmtId="0" fontId="3" fillId="7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10" borderId="0" xfId="0" applyFont="1" applyFill="1"/>
    <xf numFmtId="0" fontId="1" fillId="11" borderId="0" xfId="0" applyFont="1" applyFill="1"/>
    <xf numFmtId="2" fontId="1" fillId="10" borderId="0" xfId="0" applyNumberFormat="1" applyFont="1" applyFill="1"/>
    <xf numFmtId="2" fontId="1" fillId="11" borderId="0" xfId="0" applyNumberFormat="1" applyFont="1" applyFill="1"/>
    <xf numFmtId="0" fontId="31" fillId="0" borderId="9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/>
    </xf>
    <xf numFmtId="0" fontId="31" fillId="0" borderId="9" xfId="0" applyFont="1" applyBorder="1" applyAlignment="1">
      <alignment horizontal="center"/>
    </xf>
    <xf numFmtId="43" fontId="1" fillId="6" borderId="6" xfId="2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8" fillId="6" borderId="1" xfId="0" applyFont="1" applyFill="1" applyBorder="1"/>
    <xf numFmtId="43" fontId="16" fillId="6" borderId="1" xfId="2" applyFont="1" applyFill="1" applyBorder="1"/>
    <xf numFmtId="43" fontId="9" fillId="6" borderId="1" xfId="2" applyFont="1" applyFill="1" applyBorder="1"/>
    <xf numFmtId="43" fontId="16" fillId="6" borderId="1" xfId="0" applyNumberFormat="1" applyFont="1" applyFill="1" applyBorder="1"/>
    <xf numFmtId="0" fontId="1" fillId="7" borderId="1" xfId="0" applyFont="1" applyFill="1" applyBorder="1"/>
    <xf numFmtId="0" fontId="5" fillId="7" borderId="4" xfId="0" applyFont="1" applyFill="1" applyBorder="1" applyAlignment="1">
      <alignment horizontal="center"/>
    </xf>
    <xf numFmtId="0" fontId="19" fillId="7" borderId="11" xfId="1" applyFont="1" applyFill="1" applyBorder="1" applyAlignment="1">
      <alignment horizontal="center" vertical="center" wrapText="1"/>
    </xf>
    <xf numFmtId="0" fontId="17" fillId="7" borderId="34" xfId="1" applyFont="1" applyFill="1" applyBorder="1" applyAlignment="1">
      <alignment horizontal="center"/>
    </xf>
    <xf numFmtId="0" fontId="17" fillId="7" borderId="25" xfId="1" applyFont="1" applyFill="1" applyBorder="1" applyAlignment="1">
      <alignment horizontal="center"/>
    </xf>
    <xf numFmtId="0" fontId="39" fillId="0" borderId="0" xfId="0" applyFont="1"/>
    <xf numFmtId="0" fontId="42" fillId="0" borderId="3" xfId="1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6" borderId="1" xfId="0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7" borderId="1" xfId="0" applyFont="1" applyFill="1" applyBorder="1" applyAlignment="1">
      <alignment horizontal="center"/>
    </xf>
    <xf numFmtId="0" fontId="44" fillId="6" borderId="1" xfId="0" applyFont="1" applyFill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41" fillId="7" borderId="1" xfId="0" applyFont="1" applyFill="1" applyBorder="1" applyAlignment="1">
      <alignment horizontal="left"/>
    </xf>
    <xf numFmtId="43" fontId="39" fillId="6" borderId="1" xfId="2" applyFont="1" applyFill="1" applyBorder="1" applyAlignment="1">
      <alignment horizontal="center"/>
    </xf>
    <xf numFmtId="43" fontId="43" fillId="6" borderId="1" xfId="2" applyFont="1" applyFill="1" applyBorder="1" applyAlignment="1">
      <alignment horizontal="center"/>
    </xf>
    <xf numFmtId="0" fontId="40" fillId="4" borderId="4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44" fillId="4" borderId="4" xfId="0" applyFont="1" applyFill="1" applyBorder="1" applyAlignment="1">
      <alignment horizontal="center" vertical="center" wrapText="1"/>
    </xf>
    <xf numFmtId="2" fontId="16" fillId="5" borderId="1" xfId="1" applyNumberFormat="1" applyFont="1" applyFill="1" applyBorder="1" applyAlignment="1">
      <alignment horizontal="center"/>
    </xf>
    <xf numFmtId="2" fontId="16" fillId="5" borderId="41" xfId="1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0" borderId="6" xfId="0" applyFont="1" applyBorder="1"/>
    <xf numFmtId="0" fontId="1" fillId="6" borderId="6" xfId="0" quotePrefix="1" applyFont="1" applyFill="1" applyBorder="1" applyAlignment="1">
      <alignment horizontal="center" vertical="center" wrapText="1"/>
    </xf>
    <xf numFmtId="0" fontId="1" fillId="6" borderId="1" xfId="0" quotePrefix="1" applyFont="1" applyFill="1" applyBorder="1" applyAlignment="1">
      <alignment horizontal="center" vertical="center" wrapText="1"/>
    </xf>
    <xf numFmtId="43" fontId="1" fillId="6" borderId="1" xfId="2" applyFont="1" applyFill="1" applyBorder="1" applyAlignment="1">
      <alignment horizontal="center"/>
    </xf>
    <xf numFmtId="0" fontId="26" fillId="7" borderId="6" xfId="0" applyFont="1" applyFill="1" applyBorder="1"/>
    <xf numFmtId="0" fontId="26" fillId="7" borderId="1" xfId="0" applyFont="1" applyFill="1" applyBorder="1"/>
    <xf numFmtId="0" fontId="8" fillId="7" borderId="1" xfId="0" quotePrefix="1" applyFont="1" applyFill="1" applyBorder="1" applyAlignment="1">
      <alignment vertical="center" wrapText="1"/>
    </xf>
    <xf numFmtId="43" fontId="9" fillId="6" borderId="1" xfId="0" applyNumberFormat="1" applyFont="1" applyFill="1" applyBorder="1" applyAlignment="1">
      <alignment horizontal="center"/>
    </xf>
    <xf numFmtId="43" fontId="9" fillId="6" borderId="1" xfId="2" applyFont="1" applyFill="1" applyBorder="1" applyAlignment="1">
      <alignment horizontal="center"/>
    </xf>
    <xf numFmtId="0" fontId="1" fillId="9" borderId="9" xfId="0" quotePrefix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1" fillId="6" borderId="4" xfId="0" quotePrefix="1" applyFont="1" applyFill="1" applyBorder="1" applyAlignment="1">
      <alignment vertical="center" wrapText="1"/>
    </xf>
    <xf numFmtId="0" fontId="8" fillId="0" borderId="13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/>
    </xf>
    <xf numFmtId="0" fontId="21" fillId="0" borderId="6" xfId="0" applyFont="1" applyBorder="1" applyAlignment="1">
      <alignment horizontal="left"/>
    </xf>
    <xf numFmtId="43" fontId="4" fillId="0" borderId="1" xfId="2" applyFont="1" applyBorder="1" applyAlignment="1">
      <alignment horizontal="left"/>
    </xf>
    <xf numFmtId="43" fontId="9" fillId="6" borderId="1" xfId="2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31" fillId="0" borderId="1" xfId="0" applyFont="1" applyBorder="1" applyAlignment="1">
      <alignment horizontal="center" wrapText="1"/>
    </xf>
    <xf numFmtId="0" fontId="49" fillId="0" borderId="5" xfId="0" applyFont="1" applyBorder="1" applyAlignment="1">
      <alignment horizontal="left"/>
    </xf>
    <xf numFmtId="0" fontId="31" fillId="0" borderId="9" xfId="0" quotePrefix="1" applyFont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1" fillId="3" borderId="9" xfId="0" applyFont="1" applyFill="1" applyBorder="1"/>
    <xf numFmtId="49" fontId="1" fillId="3" borderId="12" xfId="0" quotePrefix="1" applyNumberFormat="1" applyFont="1" applyFill="1" applyBorder="1" applyAlignment="1">
      <alignment vertical="center"/>
    </xf>
    <xf numFmtId="0" fontId="19" fillId="4" borderId="33" xfId="1" applyFont="1" applyFill="1" applyBorder="1" applyAlignment="1">
      <alignment horizontal="center" vertical="center" wrapText="1"/>
    </xf>
    <xf numFmtId="0" fontId="17" fillId="0" borderId="9" xfId="1" applyFont="1" applyBorder="1" applyAlignment="1">
      <alignment horizontal="center"/>
    </xf>
    <xf numFmtId="0" fontId="19" fillId="5" borderId="4" xfId="1" applyFont="1" applyFill="1" applyBorder="1" applyAlignment="1">
      <alignment horizontal="center" vertical="center" wrapText="1"/>
    </xf>
    <xf numFmtId="43" fontId="9" fillId="0" borderId="1" xfId="2" applyFont="1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43" fontId="50" fillId="0" borderId="1" xfId="2" applyFont="1" applyBorder="1" applyAlignment="1">
      <alignment horizontal="center" wrapText="1"/>
    </xf>
    <xf numFmtId="0" fontId="44" fillId="0" borderId="0" xfId="0" applyFont="1" applyAlignment="1">
      <alignment horizontal="center" vertical="center" wrapText="1"/>
    </xf>
    <xf numFmtId="0" fontId="17" fillId="0" borderId="12" xfId="1" applyFont="1" applyBorder="1" applyAlignment="1">
      <alignment horizontal="center"/>
    </xf>
    <xf numFmtId="0" fontId="19" fillId="4" borderId="12" xfId="1" applyFont="1" applyFill="1" applyBorder="1" applyAlignment="1">
      <alignment horizontal="center" vertical="center" wrapText="1"/>
    </xf>
    <xf numFmtId="43" fontId="16" fillId="5" borderId="1" xfId="2" applyFont="1" applyFill="1" applyBorder="1" applyAlignment="1">
      <alignment horizontal="center"/>
    </xf>
    <xf numFmtId="0" fontId="31" fillId="8" borderId="15" xfId="0" applyFont="1" applyFill="1" applyBorder="1" applyAlignment="1">
      <alignment horizontal="left" vertical="center" wrapText="1" indent="4"/>
    </xf>
    <xf numFmtId="0" fontId="31" fillId="8" borderId="16" xfId="0" applyFont="1" applyFill="1" applyBorder="1" applyAlignment="1">
      <alignment horizontal="left" vertical="center" wrapText="1" indent="4"/>
    </xf>
    <xf numFmtId="164" fontId="31" fillId="8" borderId="15" xfId="0" applyNumberFormat="1" applyFont="1" applyFill="1" applyBorder="1" applyAlignment="1">
      <alignment horizontal="center" vertical="center" wrapText="1"/>
    </xf>
    <xf numFmtId="164" fontId="31" fillId="8" borderId="16" xfId="0" applyNumberFormat="1" applyFont="1" applyFill="1" applyBorder="1" applyAlignment="1">
      <alignment horizontal="center" vertical="center" wrapText="1"/>
    </xf>
    <xf numFmtId="0" fontId="31" fillId="8" borderId="11" xfId="0" applyFont="1" applyFill="1" applyBorder="1" applyAlignment="1">
      <alignment horizontal="left" vertical="center" wrapText="1" indent="4"/>
    </xf>
    <xf numFmtId="0" fontId="31" fillId="8" borderId="13" xfId="0" applyFont="1" applyFill="1" applyBorder="1" applyAlignment="1">
      <alignment horizontal="left" vertical="center" wrapText="1" indent="4"/>
    </xf>
    <xf numFmtId="164" fontId="31" fillId="8" borderId="11" xfId="0" applyNumberFormat="1" applyFont="1" applyFill="1" applyBorder="1" applyAlignment="1">
      <alignment horizontal="center" vertical="center" wrapText="1"/>
    </xf>
    <xf numFmtId="164" fontId="31" fillId="8" borderId="13" xfId="0" applyNumberFormat="1" applyFont="1" applyFill="1" applyBorder="1" applyAlignment="1">
      <alignment horizontal="center" vertical="center" wrapText="1"/>
    </xf>
    <xf numFmtId="0" fontId="31" fillId="0" borderId="3" xfId="0" quotePrefix="1" applyFont="1" applyBorder="1" applyAlignment="1">
      <alignment horizontal="center" vertical="center"/>
    </xf>
    <xf numFmtId="0" fontId="31" fillId="0" borderId="8" xfId="0" quotePrefix="1" applyFont="1" applyBorder="1" applyAlignment="1">
      <alignment horizontal="center" vertical="center"/>
    </xf>
    <xf numFmtId="0" fontId="31" fillId="0" borderId="4" xfId="0" quotePrefix="1" applyFont="1" applyBorder="1" applyAlignment="1">
      <alignment horizontal="center" vertical="center"/>
    </xf>
    <xf numFmtId="0" fontId="31" fillId="0" borderId="5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/>
    </xf>
    <xf numFmtId="0" fontId="31" fillId="0" borderId="6" xfId="0" applyFont="1" applyBorder="1" applyAlignment="1">
      <alignment horizontal="left"/>
    </xf>
    <xf numFmtId="0" fontId="31" fillId="8" borderId="15" xfId="0" applyFont="1" applyFill="1" applyBorder="1" applyAlignment="1">
      <alignment horizontal="center" vertical="center" wrapText="1"/>
    </xf>
    <xf numFmtId="0" fontId="31" fillId="8" borderId="16" xfId="0" applyFont="1" applyFill="1" applyBorder="1" applyAlignment="1">
      <alignment horizontal="center" vertical="center" wrapText="1"/>
    </xf>
    <xf numFmtId="0" fontId="31" fillId="8" borderId="11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 indent="4"/>
    </xf>
    <xf numFmtId="0" fontId="31" fillId="8" borderId="7" xfId="0" applyFont="1" applyFill="1" applyBorder="1" applyAlignment="1">
      <alignment horizontal="left" vertical="center" wrapText="1" indent="4"/>
    </xf>
    <xf numFmtId="0" fontId="31" fillId="8" borderId="10" xfId="0" applyFont="1" applyFill="1" applyBorder="1" applyAlignment="1">
      <alignment horizontal="center" vertical="center" wrapText="1"/>
    </xf>
    <xf numFmtId="0" fontId="31" fillId="8" borderId="7" xfId="0" applyFont="1" applyFill="1" applyBorder="1" applyAlignment="1">
      <alignment horizontal="center" vertical="center" wrapText="1"/>
    </xf>
    <xf numFmtId="0" fontId="31" fillId="0" borderId="3" xfId="0" quotePrefix="1" applyFont="1" applyBorder="1" applyAlignment="1">
      <alignment horizontal="center" vertical="top"/>
    </xf>
    <xf numFmtId="0" fontId="31" fillId="0" borderId="4" xfId="0" quotePrefix="1" applyFont="1" applyBorder="1" applyAlignment="1">
      <alignment horizontal="center" vertical="top"/>
    </xf>
    <xf numFmtId="0" fontId="31" fillId="8" borderId="11" xfId="0" applyFont="1" applyFill="1" applyBorder="1" applyAlignment="1">
      <alignment horizontal="left" vertical="center" wrapText="1"/>
    </xf>
    <xf numFmtId="0" fontId="31" fillId="8" borderId="13" xfId="0" applyFont="1" applyFill="1" applyBorder="1" applyAlignment="1">
      <alignment horizontal="left" vertical="center" wrapText="1"/>
    </xf>
    <xf numFmtId="0" fontId="31" fillId="8" borderId="5" xfId="0" applyFont="1" applyFill="1" applyBorder="1" applyAlignment="1">
      <alignment horizontal="left" vertical="center" wrapText="1"/>
    </xf>
    <xf numFmtId="0" fontId="31" fillId="8" borderId="6" xfId="0" applyFont="1" applyFill="1" applyBorder="1" applyAlignment="1">
      <alignment horizontal="left" vertical="center" wrapText="1"/>
    </xf>
    <xf numFmtId="49" fontId="31" fillId="8" borderId="4" xfId="0" applyNumberFormat="1" applyFont="1" applyFill="1" applyBorder="1" applyAlignment="1">
      <alignment horizontal="left" vertical="center" wrapText="1" indent="4"/>
    </xf>
    <xf numFmtId="0" fontId="31" fillId="8" borderId="4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7" xfId="0" applyFont="1" applyFill="1" applyBorder="1" applyAlignment="1">
      <alignment horizontal="left" vertical="center" wrapText="1"/>
    </xf>
    <xf numFmtId="0" fontId="31" fillId="8" borderId="5" xfId="0" applyFont="1" applyFill="1" applyBorder="1" applyAlignment="1">
      <alignment horizontal="center" vertical="center" wrapText="1"/>
    </xf>
    <xf numFmtId="0" fontId="31" fillId="8" borderId="6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left" vertical="center" wrapText="1" indent="4"/>
    </xf>
    <xf numFmtId="0" fontId="31" fillId="8" borderId="8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5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1" fillId="0" borderId="9" xfId="0" applyFont="1" applyBorder="1" applyAlignment="1">
      <alignment horizontal="left"/>
    </xf>
    <xf numFmtId="0" fontId="31" fillId="0" borderId="9" xfId="0" applyFont="1" applyBorder="1" applyAlignment="1">
      <alignment horizontal="left" vertical="center" wrapText="1"/>
    </xf>
    <xf numFmtId="0" fontId="29" fillId="0" borderId="0" xfId="0" applyFont="1" applyAlignment="1">
      <alignment horizontal="center"/>
    </xf>
    <xf numFmtId="0" fontId="31" fillId="0" borderId="10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1" xfId="0" quotePrefix="1" applyFont="1" applyBorder="1" applyAlignment="1">
      <alignment horizontal="center" vertical="center" wrapText="1"/>
    </xf>
    <xf numFmtId="0" fontId="31" fillId="0" borderId="5" xfId="0" quotePrefix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10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/>
    </xf>
    <xf numFmtId="0" fontId="31" fillId="8" borderId="3" xfId="0" applyFont="1" applyFill="1" applyBorder="1" applyAlignment="1">
      <alignment horizontal="left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quotePrefix="1" applyFont="1" applyBorder="1" applyAlignment="1">
      <alignment horizontal="center" vertical="center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1" fillId="0" borderId="5" xfId="0" applyFont="1" applyBorder="1" applyAlignment="1">
      <alignment horizontal="left" wrapText="1"/>
    </xf>
    <xf numFmtId="0" fontId="31" fillId="0" borderId="6" xfId="0" applyFont="1" applyBorder="1" applyAlignment="1">
      <alignment horizontal="left" wrapText="1"/>
    </xf>
    <xf numFmtId="0" fontId="31" fillId="0" borderId="6" xfId="0" applyFont="1" applyBorder="1" applyAlignment="1">
      <alignment horizontal="center" vertical="center" wrapText="1"/>
    </xf>
    <xf numFmtId="0" fontId="31" fillId="8" borderId="5" xfId="0" quotePrefix="1" applyFont="1" applyFill="1" applyBorder="1" applyAlignment="1">
      <alignment horizontal="center" vertical="center" wrapText="1"/>
    </xf>
    <xf numFmtId="0" fontId="31" fillId="8" borderId="6" xfId="0" quotePrefix="1" applyFont="1" applyFill="1" applyBorder="1" applyAlignment="1">
      <alignment horizontal="center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8" borderId="4" xfId="0" applyFont="1" applyFill="1" applyBorder="1" applyAlignment="1">
      <alignment horizontal="left" vertical="center" wrapText="1" indent="4"/>
    </xf>
    <xf numFmtId="16" fontId="31" fillId="8" borderId="5" xfId="0" quotePrefix="1" applyNumberFormat="1" applyFont="1" applyFill="1" applyBorder="1" applyAlignment="1">
      <alignment horizontal="center" vertical="center" wrapText="1"/>
    </xf>
    <xf numFmtId="16" fontId="31" fillId="8" borderId="6" xfId="0" quotePrefix="1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6" borderId="5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 vertical="center" wrapText="1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8" fillId="6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43" fontId="1" fillId="6" borderId="5" xfId="2" applyFont="1" applyFill="1" applyBorder="1" applyAlignment="1">
      <alignment horizontal="center"/>
    </xf>
    <xf numFmtId="43" fontId="1" fillId="6" borderId="6" xfId="2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43" fontId="48" fillId="6" borderId="3" xfId="2" applyFont="1" applyFill="1" applyBorder="1" applyAlignment="1">
      <alignment horizontal="center" vertical="center" wrapText="1"/>
    </xf>
    <xf numFmtId="43" fontId="48" fillId="6" borderId="4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6" borderId="5" xfId="0" applyFont="1" applyFill="1" applyBorder="1" applyAlignment="1">
      <alignment horizontal="right"/>
    </xf>
    <xf numFmtId="0" fontId="9" fillId="6" borderId="9" xfId="0" applyFont="1" applyFill="1" applyBorder="1" applyAlignment="1">
      <alignment horizontal="right"/>
    </xf>
    <xf numFmtId="0" fontId="9" fillId="6" borderId="6" xfId="0" applyFont="1" applyFill="1" applyBorder="1" applyAlignment="1">
      <alignment horizontal="right"/>
    </xf>
    <xf numFmtId="0" fontId="1" fillId="7" borderId="5" xfId="0" quotePrefix="1" applyFont="1" applyFill="1" applyBorder="1" applyAlignment="1">
      <alignment horizontal="center" vertical="center" wrapText="1"/>
    </xf>
    <xf numFmtId="0" fontId="1" fillId="7" borderId="6" xfId="0" quotePrefix="1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9" borderId="5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5" xfId="0" quotePrefix="1" applyFont="1" applyFill="1" applyBorder="1" applyAlignment="1">
      <alignment horizontal="center" vertical="center" wrapText="1"/>
    </xf>
    <xf numFmtId="0" fontId="1" fillId="9" borderId="6" xfId="0" quotePrefix="1" applyFont="1" applyFill="1" applyBorder="1" applyAlignment="1">
      <alignment horizontal="center" vertical="center" wrapText="1"/>
    </xf>
    <xf numFmtId="0" fontId="1" fillId="7" borderId="9" xfId="0" quotePrefix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39" fillId="6" borderId="5" xfId="0" applyFont="1" applyFill="1" applyBorder="1" applyAlignment="1">
      <alignment horizontal="right"/>
    </xf>
    <xf numFmtId="0" fontId="39" fillId="6" borderId="9" xfId="0" applyFont="1" applyFill="1" applyBorder="1" applyAlignment="1">
      <alignment horizontal="right"/>
    </xf>
    <xf numFmtId="0" fontId="39" fillId="6" borderId="6" xfId="0" applyFont="1" applyFill="1" applyBorder="1" applyAlignment="1">
      <alignment horizontal="right"/>
    </xf>
    <xf numFmtId="0" fontId="1" fillId="8" borderId="10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7" fillId="0" borderId="5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9" fillId="5" borderId="3" xfId="1" applyFont="1" applyFill="1" applyBorder="1" applyAlignment="1">
      <alignment horizontal="center" vertical="center" wrapText="1"/>
    </xf>
    <xf numFmtId="0" fontId="19" fillId="5" borderId="8" xfId="1" applyFont="1" applyFill="1" applyBorder="1" applyAlignment="1">
      <alignment horizontal="center" vertical="center" wrapText="1"/>
    </xf>
    <xf numFmtId="0" fontId="19" fillId="5" borderId="4" xfId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9" fillId="4" borderId="31" xfId="1" applyFont="1" applyFill="1" applyBorder="1" applyAlignment="1">
      <alignment horizontal="center" vertical="center"/>
    </xf>
    <xf numFmtId="0" fontId="19" fillId="4" borderId="9" xfId="1" applyFont="1" applyFill="1" applyBorder="1" applyAlignment="1">
      <alignment horizontal="center" vertical="center"/>
    </xf>
    <xf numFmtId="0" fontId="19" fillId="4" borderId="6" xfId="1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center" wrapText="1"/>
    </xf>
    <xf numFmtId="0" fontId="19" fillId="4" borderId="8" xfId="1" applyFont="1" applyFill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9" fillId="4" borderId="18" xfId="1" applyFont="1" applyFill="1" applyBorder="1" applyAlignment="1">
      <alignment horizontal="center" vertical="center" wrapText="1"/>
    </xf>
    <xf numFmtId="0" fontId="19" fillId="4" borderId="7" xfId="1" applyFont="1" applyFill="1" applyBorder="1" applyAlignment="1">
      <alignment horizontal="center" vertical="center" wrapText="1"/>
    </xf>
    <xf numFmtId="0" fontId="19" fillId="4" borderId="37" xfId="1" applyFont="1" applyFill="1" applyBorder="1" applyAlignment="1">
      <alignment horizontal="center" vertical="center" wrapText="1"/>
    </xf>
    <xf numFmtId="0" fontId="19" fillId="4" borderId="16" xfId="1" applyFont="1" applyFill="1" applyBorder="1" applyAlignment="1">
      <alignment horizontal="center" vertical="center" wrapText="1"/>
    </xf>
    <xf numFmtId="0" fontId="19" fillId="4" borderId="20" xfId="1" applyFont="1" applyFill="1" applyBorder="1" applyAlignment="1">
      <alignment horizontal="center" vertical="center" wrapText="1"/>
    </xf>
    <xf numFmtId="0" fontId="19" fillId="4" borderId="13" xfId="1" applyFont="1" applyFill="1" applyBorder="1" applyAlignment="1">
      <alignment horizontal="center" vertical="center" wrapText="1"/>
    </xf>
    <xf numFmtId="0" fontId="19" fillId="5" borderId="10" xfId="1" applyFont="1" applyFill="1" applyBorder="1" applyAlignment="1">
      <alignment horizontal="center" vertical="center" wrapText="1"/>
    </xf>
    <xf numFmtId="0" fontId="19" fillId="5" borderId="7" xfId="1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horizontal="center" vertical="center" wrapText="1"/>
    </xf>
    <xf numFmtId="0" fontId="19" fillId="5" borderId="16" xfId="1" applyFont="1" applyFill="1" applyBorder="1" applyAlignment="1">
      <alignment horizontal="center" vertical="center" wrapText="1"/>
    </xf>
    <xf numFmtId="0" fontId="19" fillId="5" borderId="11" xfId="1" applyFont="1" applyFill="1" applyBorder="1" applyAlignment="1">
      <alignment horizontal="center" vertical="center" wrapText="1"/>
    </xf>
    <xf numFmtId="0" fontId="19" fillId="5" borderId="13" xfId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right" vertical="center"/>
    </xf>
    <xf numFmtId="0" fontId="4" fillId="6" borderId="9" xfId="0" applyFont="1" applyFill="1" applyBorder="1" applyAlignment="1">
      <alignment horizontal="right" vertical="center"/>
    </xf>
    <xf numFmtId="0" fontId="4" fillId="6" borderId="6" xfId="0" applyFont="1" applyFill="1" applyBorder="1" applyAlignment="1">
      <alignment horizontal="right" vertical="center"/>
    </xf>
    <xf numFmtId="0" fontId="39" fillId="0" borderId="3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left"/>
    </xf>
    <xf numFmtId="0" fontId="17" fillId="0" borderId="9" xfId="1" applyFont="1" applyBorder="1" applyAlignment="1">
      <alignment horizontal="left"/>
    </xf>
    <xf numFmtId="0" fontId="17" fillId="0" borderId="6" xfId="1" applyFont="1" applyBorder="1" applyAlignment="1">
      <alignment horizontal="left"/>
    </xf>
    <xf numFmtId="0" fontId="17" fillId="7" borderId="3" xfId="1" applyFont="1" applyFill="1" applyBorder="1" applyAlignment="1">
      <alignment horizontal="center" vertical="center" wrapText="1"/>
    </xf>
    <xf numFmtId="0" fontId="17" fillId="7" borderId="8" xfId="1" applyFont="1" applyFill="1" applyBorder="1" applyAlignment="1">
      <alignment horizontal="center" vertical="center" wrapText="1"/>
    </xf>
    <xf numFmtId="0" fontId="22" fillId="7" borderId="21" xfId="1" applyFont="1" applyFill="1" applyBorder="1" applyAlignment="1">
      <alignment horizontal="center" vertical="center" wrapText="1"/>
    </xf>
    <xf numFmtId="0" fontId="22" fillId="7" borderId="22" xfId="1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right" vertical="center"/>
    </xf>
    <xf numFmtId="0" fontId="40" fillId="7" borderId="3" xfId="0" applyFont="1" applyFill="1" applyBorder="1" applyAlignment="1">
      <alignment horizontal="center" vertical="center" wrapText="1"/>
    </xf>
    <xf numFmtId="0" fontId="40" fillId="7" borderId="8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9" xfId="0" applyFont="1" applyFill="1" applyBorder="1" applyAlignment="1">
      <alignment horizontal="center"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41" fillId="6" borderId="8" xfId="0" applyFont="1" applyFill="1" applyBorder="1" applyAlignment="1">
      <alignment horizontal="center" vertical="center" wrapText="1"/>
    </xf>
    <xf numFmtId="0" fontId="41" fillId="6" borderId="4" xfId="0" applyFont="1" applyFill="1" applyBorder="1" applyAlignment="1">
      <alignment horizontal="center" vertical="center" wrapText="1"/>
    </xf>
    <xf numFmtId="0" fontId="40" fillId="4" borderId="7" xfId="0" applyFont="1" applyFill="1" applyBorder="1" applyAlignment="1">
      <alignment horizontal="center" vertical="center" wrapText="1"/>
    </xf>
    <xf numFmtId="0" fontId="40" fillId="4" borderId="13" xfId="0" applyFont="1" applyFill="1" applyBorder="1" applyAlignment="1">
      <alignment horizontal="center"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40" fillId="6" borderId="8" xfId="0" applyFont="1" applyFill="1" applyBorder="1" applyAlignment="1">
      <alignment horizontal="center" vertical="center" wrapText="1"/>
    </xf>
    <xf numFmtId="0" fontId="40" fillId="6" borderId="4" xfId="0" applyFont="1" applyFill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wrapText="1"/>
    </xf>
    <xf numFmtId="0" fontId="19" fillId="5" borderId="27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right"/>
    </xf>
    <xf numFmtId="0" fontId="19" fillId="5" borderId="18" xfId="1" applyFont="1" applyFill="1" applyBorder="1" applyAlignment="1">
      <alignment horizontal="center" vertical="center" wrapText="1"/>
    </xf>
    <xf numFmtId="0" fontId="19" fillId="5" borderId="19" xfId="1" applyFont="1" applyFill="1" applyBorder="1" applyAlignment="1">
      <alignment horizontal="center" vertical="center" wrapText="1"/>
    </xf>
    <xf numFmtId="0" fontId="19" fillId="5" borderId="37" xfId="1" applyFont="1" applyFill="1" applyBorder="1" applyAlignment="1">
      <alignment horizontal="center" vertical="center" wrapText="1"/>
    </xf>
    <xf numFmtId="0" fontId="19" fillId="5" borderId="38" xfId="1" applyFont="1" applyFill="1" applyBorder="1" applyAlignment="1">
      <alignment horizontal="center" vertical="center" wrapText="1"/>
    </xf>
    <xf numFmtId="0" fontId="19" fillId="5" borderId="20" xfId="1" applyFont="1" applyFill="1" applyBorder="1" applyAlignment="1">
      <alignment horizontal="center" vertical="center" wrapText="1"/>
    </xf>
    <xf numFmtId="0" fontId="19" fillId="5" borderId="23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9" fillId="4" borderId="32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0" fillId="7" borderId="5" xfId="0" applyFont="1" applyFill="1" applyBorder="1" applyAlignment="1">
      <alignment horizontal="center" vertical="center" wrapText="1"/>
    </xf>
    <xf numFmtId="0" fontId="40" fillId="7" borderId="9" xfId="0" applyFont="1" applyFill="1" applyBorder="1" applyAlignment="1">
      <alignment horizontal="center" vertical="center" wrapText="1"/>
    </xf>
    <xf numFmtId="0" fontId="40" fillId="7" borderId="6" xfId="0" applyFont="1" applyFill="1" applyBorder="1" applyAlignment="1">
      <alignment horizontal="center" vertical="center" wrapText="1"/>
    </xf>
    <xf numFmtId="0" fontId="40" fillId="4" borderId="10" xfId="0" applyFont="1" applyFill="1" applyBorder="1" applyAlignment="1">
      <alignment horizontal="center" vertical="center" wrapText="1"/>
    </xf>
    <xf numFmtId="0" fontId="40" fillId="4" borderId="11" xfId="0" applyFont="1" applyFill="1" applyBorder="1" applyAlignment="1">
      <alignment horizontal="center" vertical="center" wrapText="1"/>
    </xf>
    <xf numFmtId="0" fontId="47" fillId="6" borderId="3" xfId="0" applyFont="1" applyFill="1" applyBorder="1" applyAlignment="1">
      <alignment horizontal="center" vertical="center" wrapText="1"/>
    </xf>
    <xf numFmtId="0" fontId="47" fillId="6" borderId="8" xfId="0" applyFont="1" applyFill="1" applyBorder="1" applyAlignment="1">
      <alignment horizontal="center" vertical="center" wrapText="1"/>
    </xf>
    <xf numFmtId="0" fontId="47" fillId="6" borderId="4" xfId="0" applyFont="1" applyFill="1" applyBorder="1" applyAlignment="1">
      <alignment horizontal="center" vertical="center" wrapText="1"/>
    </xf>
    <xf numFmtId="0" fontId="44" fillId="6" borderId="3" xfId="0" applyFont="1" applyFill="1" applyBorder="1" applyAlignment="1">
      <alignment horizontal="center" vertical="center" wrapText="1"/>
    </xf>
    <xf numFmtId="0" fontId="44" fillId="6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left" vertical="center"/>
    </xf>
    <xf numFmtId="0" fontId="1" fillId="7" borderId="9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3" borderId="12" xfId="0" quotePrefix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 vertical="center"/>
    </xf>
    <xf numFmtId="43" fontId="48" fillId="0" borderId="1" xfId="2" applyFont="1" applyBorder="1" applyAlignment="1">
      <alignment horizontal="center" vertical="center" wrapText="1"/>
    </xf>
    <xf numFmtId="43" fontId="48" fillId="6" borderId="1" xfId="2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left"/>
    </xf>
    <xf numFmtId="0" fontId="1" fillId="9" borderId="9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49" fontId="1" fillId="0" borderId="12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DDE0"/>
      <color rgb="FFC3F12F"/>
      <color rgb="FFCCFFFF"/>
      <color rgb="FF0000FF"/>
      <color rgb="FFFEDEDE"/>
      <color rgb="FFFEF8F4"/>
      <color rgb="FFCCFF99"/>
      <color rgb="FF0000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1"/>
  <sheetViews>
    <sheetView zoomScale="130" zoomScaleNormal="130" workbookViewId="0">
      <selection activeCell="B12" sqref="B12"/>
    </sheetView>
  </sheetViews>
  <sheetFormatPr defaultRowHeight="15"/>
  <cols>
    <col min="2" max="2" width="45.7109375" customWidth="1"/>
    <col min="10" max="10" width="36.85546875" bestFit="1" customWidth="1"/>
    <col min="11" max="11" width="5.28515625" customWidth="1"/>
    <col min="12" max="12" width="39.28515625" customWidth="1"/>
    <col min="14" max="14" width="16.42578125" bestFit="1" customWidth="1"/>
    <col min="16" max="16" width="19.5703125" customWidth="1"/>
  </cols>
  <sheetData>
    <row r="1" spans="2:16" ht="14.45" customHeight="1">
      <c r="D1" t="s">
        <v>147</v>
      </c>
      <c r="J1" t="s">
        <v>215</v>
      </c>
      <c r="L1" t="s">
        <v>217</v>
      </c>
      <c r="M1" s="40" t="s">
        <v>232</v>
      </c>
      <c r="N1" s="41" t="s">
        <v>225</v>
      </c>
      <c r="P1" t="s">
        <v>228</v>
      </c>
    </row>
    <row r="2" spans="2:16">
      <c r="B2" t="s">
        <v>114</v>
      </c>
      <c r="D2" t="s">
        <v>146</v>
      </c>
      <c r="J2" t="s">
        <v>208</v>
      </c>
      <c r="L2" t="s">
        <v>218</v>
      </c>
      <c r="N2" t="s">
        <v>226</v>
      </c>
      <c r="P2" t="s">
        <v>229</v>
      </c>
    </row>
    <row r="3" spans="2:16">
      <c r="B3" t="s">
        <v>115</v>
      </c>
      <c r="D3" t="s">
        <v>145</v>
      </c>
      <c r="J3" t="s">
        <v>168</v>
      </c>
      <c r="L3" t="s">
        <v>219</v>
      </c>
      <c r="N3" t="s">
        <v>227</v>
      </c>
      <c r="P3" t="s">
        <v>230</v>
      </c>
    </row>
    <row r="4" spans="2:16">
      <c r="B4" t="s">
        <v>116</v>
      </c>
      <c r="D4" t="s">
        <v>144</v>
      </c>
      <c r="J4" t="s">
        <v>209</v>
      </c>
      <c r="L4" t="s">
        <v>220</v>
      </c>
      <c r="P4" t="s">
        <v>231</v>
      </c>
    </row>
    <row r="5" spans="2:16">
      <c r="B5" t="s">
        <v>392</v>
      </c>
      <c r="J5" t="s">
        <v>210</v>
      </c>
      <c r="L5" t="s">
        <v>221</v>
      </c>
    </row>
    <row r="6" spans="2:16">
      <c r="B6" t="s">
        <v>199</v>
      </c>
      <c r="J6" t="s">
        <v>211</v>
      </c>
      <c r="L6" t="s">
        <v>222</v>
      </c>
    </row>
    <row r="7" spans="2:16">
      <c r="B7" t="s">
        <v>395</v>
      </c>
      <c r="J7" t="s">
        <v>212</v>
      </c>
      <c r="L7" t="s">
        <v>223</v>
      </c>
    </row>
    <row r="8" spans="2:16">
      <c r="B8" t="s">
        <v>396</v>
      </c>
      <c r="J8" t="s">
        <v>213</v>
      </c>
    </row>
    <row r="9" spans="2:16">
      <c r="B9" t="s">
        <v>117</v>
      </c>
      <c r="J9" t="s">
        <v>214</v>
      </c>
    </row>
    <row r="10" spans="2:16">
      <c r="B10" t="s">
        <v>118</v>
      </c>
      <c r="J10" t="s">
        <v>233</v>
      </c>
    </row>
    <row r="11" spans="2:16">
      <c r="B11" t="s">
        <v>119</v>
      </c>
    </row>
    <row r="12" spans="2:16">
      <c r="B12" s="8" t="s">
        <v>399</v>
      </c>
    </row>
    <row r="13" spans="2:16">
      <c r="B13" s="8"/>
    </row>
    <row r="14" spans="2:16">
      <c r="B14" t="s">
        <v>170</v>
      </c>
    </row>
    <row r="15" spans="2:16">
      <c r="B15" t="s">
        <v>138</v>
      </c>
    </row>
    <row r="18" spans="2:2">
      <c r="B18" s="8" t="s">
        <v>398</v>
      </c>
    </row>
    <row r="19" spans="2:2">
      <c r="B19" s="8" t="s">
        <v>397</v>
      </c>
    </row>
    <row r="20" spans="2:2">
      <c r="B20" t="s">
        <v>120</v>
      </c>
    </row>
    <row r="23" spans="2:2">
      <c r="B23" t="s">
        <v>41</v>
      </c>
    </row>
    <row r="24" spans="2:2">
      <c r="B24" t="s">
        <v>105</v>
      </c>
    </row>
    <row r="25" spans="2:2">
      <c r="B25" t="s">
        <v>42</v>
      </c>
    </row>
    <row r="26" spans="2:2">
      <c r="B26" t="s">
        <v>43</v>
      </c>
    </row>
    <row r="27" spans="2:2">
      <c r="B27" t="s">
        <v>106</v>
      </c>
    </row>
    <row r="28" spans="2:2">
      <c r="B28" t="s">
        <v>107</v>
      </c>
    </row>
    <row r="29" spans="2:2">
      <c r="B29" t="s">
        <v>108</v>
      </c>
    </row>
    <row r="30" spans="2:2">
      <c r="B30" t="s">
        <v>109</v>
      </c>
    </row>
    <row r="31" spans="2:2">
      <c r="B31" t="s">
        <v>110</v>
      </c>
    </row>
    <row r="32" spans="2:2">
      <c r="B32" t="s">
        <v>390</v>
      </c>
    </row>
    <row r="33" spans="2:2">
      <c r="B33" t="s">
        <v>121</v>
      </c>
    </row>
    <row r="34" spans="2:2">
      <c r="B34" t="s">
        <v>122</v>
      </c>
    </row>
    <row r="35" spans="2:2">
      <c r="B35" t="s">
        <v>123</v>
      </c>
    </row>
    <row r="36" spans="2:2">
      <c r="B36" t="s">
        <v>124</v>
      </c>
    </row>
    <row r="37" spans="2:2">
      <c r="B37" t="s">
        <v>125</v>
      </c>
    </row>
    <row r="38" spans="2:2">
      <c r="B38" t="s">
        <v>126</v>
      </c>
    </row>
    <row r="39" spans="2:2">
      <c r="B39" t="s">
        <v>137</v>
      </c>
    </row>
    <row r="40" spans="2:2">
      <c r="B40" t="s">
        <v>127</v>
      </c>
    </row>
    <row r="41" spans="2:2">
      <c r="B41" t="s">
        <v>128</v>
      </c>
    </row>
    <row r="42" spans="2:2">
      <c r="B42" t="s">
        <v>129</v>
      </c>
    </row>
    <row r="43" spans="2:2">
      <c r="B43" t="s">
        <v>130</v>
      </c>
    </row>
    <row r="44" spans="2:2">
      <c r="B44" t="s">
        <v>131</v>
      </c>
    </row>
    <row r="45" spans="2:2">
      <c r="B45" t="s">
        <v>132</v>
      </c>
    </row>
    <row r="46" spans="2:2">
      <c r="B46" t="s">
        <v>133</v>
      </c>
    </row>
    <row r="47" spans="2:2">
      <c r="B47" t="s">
        <v>111</v>
      </c>
    </row>
    <row r="48" spans="2:2">
      <c r="B48" t="s">
        <v>134</v>
      </c>
    </row>
    <row r="49" spans="2:2">
      <c r="B49" t="s">
        <v>135</v>
      </c>
    </row>
    <row r="50" spans="2:2">
      <c r="B50" t="s">
        <v>391</v>
      </c>
    </row>
    <row r="51" spans="2:2">
      <c r="B51" t="s">
        <v>113</v>
      </c>
    </row>
    <row r="52" spans="2:2">
      <c r="B52" t="s">
        <v>112</v>
      </c>
    </row>
    <row r="53" spans="2:2">
      <c r="B53" t="s">
        <v>136</v>
      </c>
    </row>
    <row r="55" spans="2:2">
      <c r="B55" t="s">
        <v>139</v>
      </c>
    </row>
    <row r="56" spans="2:2">
      <c r="B56" t="s">
        <v>1</v>
      </c>
    </row>
    <row r="58" spans="2:2">
      <c r="B58" t="s">
        <v>144</v>
      </c>
    </row>
    <row r="59" spans="2:2">
      <c r="B59" t="s">
        <v>145</v>
      </c>
    </row>
    <row r="60" spans="2:2">
      <c r="B60" t="s">
        <v>146</v>
      </c>
    </row>
    <row r="61" spans="2:2">
      <c r="B61" t="s">
        <v>147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213"/>
  <sheetViews>
    <sheetView zoomScale="110" zoomScaleNormal="110" workbookViewId="0">
      <selection activeCell="J1" sqref="J1:Z1048576"/>
    </sheetView>
  </sheetViews>
  <sheetFormatPr defaultColWidth="9" defaultRowHeight="14.25"/>
  <cols>
    <col min="1" max="3" width="5.140625" style="65" customWidth="1"/>
    <col min="4" max="4" width="39.28515625" style="65" customWidth="1"/>
    <col min="5" max="5" width="17.140625" style="65" customWidth="1"/>
    <col min="6" max="6" width="20" style="65" bestFit="1" customWidth="1"/>
    <col min="7" max="7" width="61.140625" style="65" customWidth="1"/>
    <col min="8" max="10" width="9" style="65"/>
    <col min="11" max="11" width="0" style="65" hidden="1" customWidth="1"/>
    <col min="12" max="12" width="8" style="65" bestFit="1" customWidth="1"/>
    <col min="13" max="13" width="42.42578125" style="65" bestFit="1" customWidth="1"/>
    <col min="14" max="16" width="0" style="65" hidden="1" customWidth="1"/>
    <col min="17" max="17" width="4.7109375" style="65" bestFit="1" customWidth="1"/>
    <col min="18" max="18" width="59.85546875" style="65" bestFit="1" customWidth="1"/>
    <col min="19" max="25" width="0" style="65" hidden="1" customWidth="1"/>
    <col min="26" max="16384" width="9" style="65"/>
  </cols>
  <sheetData>
    <row r="2" spans="1:18">
      <c r="A2" s="259" t="s">
        <v>529</v>
      </c>
      <c r="B2" s="259"/>
      <c r="C2" s="259"/>
      <c r="D2" s="259"/>
      <c r="E2" s="259"/>
      <c r="F2" s="259"/>
      <c r="G2" s="259"/>
      <c r="H2" s="259"/>
    </row>
    <row r="3" spans="1:18">
      <c r="A3" s="122" t="s">
        <v>48</v>
      </c>
    </row>
    <row r="4" spans="1:18" s="66" customFormat="1" ht="12.75">
      <c r="B4" s="66" t="s">
        <v>247</v>
      </c>
      <c r="L4" s="66" t="s">
        <v>8</v>
      </c>
      <c r="M4" s="66" t="s">
        <v>428</v>
      </c>
      <c r="Q4" s="66" t="s">
        <v>432</v>
      </c>
      <c r="R4" s="66" t="s">
        <v>114</v>
      </c>
    </row>
    <row r="5" spans="1:18" s="66" customFormat="1" ht="12.75">
      <c r="B5" s="66" t="s">
        <v>150</v>
      </c>
      <c r="M5" s="66" t="s">
        <v>105</v>
      </c>
      <c r="R5" s="66" t="s">
        <v>115</v>
      </c>
    </row>
    <row r="6" spans="1:18">
      <c r="C6" s="272" t="s">
        <v>10</v>
      </c>
      <c r="D6" s="276" t="s">
        <v>45</v>
      </c>
      <c r="E6" s="277"/>
      <c r="F6" s="274" t="s">
        <v>15</v>
      </c>
      <c r="G6" s="67" t="s">
        <v>281</v>
      </c>
      <c r="M6" s="65" t="s">
        <v>42</v>
      </c>
      <c r="R6" s="65" t="s">
        <v>116</v>
      </c>
    </row>
    <row r="7" spans="1:18">
      <c r="C7" s="273"/>
      <c r="D7" s="278"/>
      <c r="E7" s="279"/>
      <c r="F7" s="275"/>
      <c r="G7" s="67" t="s">
        <v>248</v>
      </c>
      <c r="M7" s="65" t="s">
        <v>107</v>
      </c>
      <c r="R7" s="65" t="s">
        <v>392</v>
      </c>
    </row>
    <row r="8" spans="1:18">
      <c r="C8" s="280">
        <v>1</v>
      </c>
      <c r="D8" s="260" t="s">
        <v>151</v>
      </c>
      <c r="E8" s="282"/>
      <c r="F8" s="68" t="s">
        <v>50</v>
      </c>
      <c r="G8" s="69" t="s">
        <v>404</v>
      </c>
      <c r="M8" s="65" t="s">
        <v>567</v>
      </c>
    </row>
    <row r="9" spans="1:18" ht="102">
      <c r="C9" s="284"/>
      <c r="D9" s="296"/>
      <c r="E9" s="297"/>
      <c r="F9" s="68" t="s">
        <v>51</v>
      </c>
      <c r="G9" s="194" t="s">
        <v>530</v>
      </c>
      <c r="M9" s="66" t="s">
        <v>110</v>
      </c>
      <c r="R9" s="65" t="s">
        <v>395</v>
      </c>
    </row>
    <row r="10" spans="1:18">
      <c r="C10" s="69">
        <v>2</v>
      </c>
      <c r="D10" s="223" t="s">
        <v>249</v>
      </c>
      <c r="E10" s="224"/>
      <c r="F10" s="69"/>
      <c r="G10" s="69" t="s">
        <v>405</v>
      </c>
      <c r="M10" s="65" t="s">
        <v>390</v>
      </c>
      <c r="R10" s="65" t="s">
        <v>117</v>
      </c>
    </row>
    <row r="11" spans="1:18">
      <c r="C11" s="70"/>
      <c r="D11" s="71"/>
      <c r="E11" s="71"/>
      <c r="F11" s="70"/>
      <c r="G11" s="70"/>
      <c r="M11" s="65" t="s">
        <v>429</v>
      </c>
      <c r="R11" s="65" t="s">
        <v>118</v>
      </c>
    </row>
    <row r="12" spans="1:18" s="66" customFormat="1">
      <c r="B12" s="66" t="s">
        <v>149</v>
      </c>
      <c r="E12" s="71"/>
      <c r="F12" s="70"/>
      <c r="G12" s="70"/>
      <c r="M12" s="65" t="s">
        <v>121</v>
      </c>
      <c r="R12" s="66" t="s">
        <v>119</v>
      </c>
    </row>
    <row r="13" spans="1:18">
      <c r="C13" s="272" t="s">
        <v>10</v>
      </c>
      <c r="D13" s="276" t="s">
        <v>45</v>
      </c>
      <c r="E13" s="277"/>
      <c r="F13" s="274" t="s">
        <v>15</v>
      </c>
      <c r="G13" s="67" t="s">
        <v>281</v>
      </c>
      <c r="M13" s="65" t="s">
        <v>122</v>
      </c>
      <c r="R13" s="65" t="s">
        <v>564</v>
      </c>
    </row>
    <row r="14" spans="1:18">
      <c r="C14" s="273"/>
      <c r="D14" s="278"/>
      <c r="E14" s="279"/>
      <c r="F14" s="275"/>
      <c r="G14" s="67" t="s">
        <v>248</v>
      </c>
      <c r="M14" s="65" t="s">
        <v>123</v>
      </c>
      <c r="R14" s="65" t="s">
        <v>563</v>
      </c>
    </row>
    <row r="15" spans="1:18">
      <c r="C15" s="72">
        <v>1</v>
      </c>
      <c r="D15" s="73" t="s">
        <v>202</v>
      </c>
      <c r="E15" s="74"/>
      <c r="F15" s="75"/>
      <c r="G15" s="66"/>
      <c r="M15" s="65" t="s">
        <v>124</v>
      </c>
    </row>
    <row r="16" spans="1:18">
      <c r="C16" s="76"/>
      <c r="D16" s="73" t="s">
        <v>251</v>
      </c>
      <c r="E16" s="74"/>
      <c r="F16" s="75"/>
      <c r="G16" s="77" t="s">
        <v>256</v>
      </c>
      <c r="M16" s="65" t="s">
        <v>430</v>
      </c>
    </row>
    <row r="17" spans="1:18">
      <c r="A17" s="65" t="s">
        <v>267</v>
      </c>
      <c r="C17" s="76"/>
      <c r="D17" s="73" t="s">
        <v>252</v>
      </c>
      <c r="E17" s="74"/>
      <c r="F17" s="75"/>
      <c r="G17" s="77" t="s">
        <v>257</v>
      </c>
      <c r="M17" s="65" t="s">
        <v>126</v>
      </c>
      <c r="R17" s="65" t="s">
        <v>433</v>
      </c>
    </row>
    <row r="18" spans="1:18">
      <c r="C18" s="69">
        <v>2</v>
      </c>
      <c r="D18" s="78" t="s">
        <v>412</v>
      </c>
      <c r="E18" s="79"/>
      <c r="F18" s="79"/>
      <c r="G18" s="80"/>
      <c r="M18" s="65" t="s">
        <v>137</v>
      </c>
      <c r="R18" s="65" t="s">
        <v>434</v>
      </c>
    </row>
    <row r="19" spans="1:18">
      <c r="C19" s="280"/>
      <c r="D19" s="260" t="s">
        <v>251</v>
      </c>
      <c r="E19" s="282"/>
      <c r="F19" s="68" t="s">
        <v>50</v>
      </c>
      <c r="G19" s="69" t="s">
        <v>404</v>
      </c>
      <c r="M19" s="65" t="s">
        <v>127</v>
      </c>
      <c r="R19" s="65" t="s">
        <v>435</v>
      </c>
    </row>
    <row r="20" spans="1:18" ht="93.75" customHeight="1">
      <c r="C20" s="284"/>
      <c r="D20" s="261"/>
      <c r="E20" s="283"/>
      <c r="F20" s="68" t="s">
        <v>51</v>
      </c>
      <c r="G20" s="194" t="s">
        <v>531</v>
      </c>
      <c r="M20" s="65" t="s">
        <v>128</v>
      </c>
      <c r="R20" s="65" t="s">
        <v>436</v>
      </c>
    </row>
    <row r="21" spans="1:18">
      <c r="C21" s="281"/>
      <c r="D21" s="223" t="s">
        <v>250</v>
      </c>
      <c r="E21" s="224"/>
      <c r="F21" s="69"/>
      <c r="G21" s="69" t="s">
        <v>405</v>
      </c>
      <c r="M21" s="65" t="s">
        <v>129</v>
      </c>
    </row>
    <row r="22" spans="1:18">
      <c r="C22" s="69">
        <v>3</v>
      </c>
      <c r="D22" s="81" t="s">
        <v>253</v>
      </c>
      <c r="E22" s="253"/>
      <c r="F22" s="253"/>
      <c r="G22" s="254"/>
      <c r="M22" s="65" t="s">
        <v>130</v>
      </c>
    </row>
    <row r="23" spans="1:18" ht="35.25" customHeight="1">
      <c r="C23" s="264"/>
      <c r="D23" s="223" t="s">
        <v>254</v>
      </c>
      <c r="E23" s="224"/>
      <c r="F23" s="69"/>
      <c r="G23" s="121" t="s">
        <v>409</v>
      </c>
      <c r="M23" s="65" t="s">
        <v>431</v>
      </c>
    </row>
    <row r="24" spans="1:18" ht="35.25" customHeight="1">
      <c r="C24" s="265"/>
      <c r="D24" s="223" t="s">
        <v>255</v>
      </c>
      <c r="E24" s="224"/>
      <c r="F24" s="69"/>
      <c r="G24" s="121" t="s">
        <v>410</v>
      </c>
      <c r="M24" s="65" t="s">
        <v>132</v>
      </c>
    </row>
    <row r="25" spans="1:18">
      <c r="C25" s="69">
        <v>4</v>
      </c>
      <c r="D25" s="81" t="s">
        <v>258</v>
      </c>
      <c r="E25" s="83"/>
      <c r="F25" s="83"/>
      <c r="G25" s="84"/>
      <c r="M25" s="65" t="s">
        <v>111</v>
      </c>
    </row>
    <row r="26" spans="1:18">
      <c r="C26" s="264"/>
      <c r="D26" s="223" t="s">
        <v>259</v>
      </c>
      <c r="E26" s="224"/>
      <c r="F26" s="69"/>
      <c r="G26" s="82" t="s">
        <v>400</v>
      </c>
      <c r="M26" s="65" t="s">
        <v>134</v>
      </c>
    </row>
    <row r="27" spans="1:18">
      <c r="C27" s="285"/>
      <c r="D27" s="223" t="s">
        <v>260</v>
      </c>
      <c r="E27" s="224"/>
      <c r="F27" s="69"/>
      <c r="G27" s="82" t="s">
        <v>261</v>
      </c>
      <c r="M27" s="65" t="s">
        <v>391</v>
      </c>
    </row>
    <row r="28" spans="1:18">
      <c r="C28" s="265"/>
      <c r="D28" s="195" t="s">
        <v>532</v>
      </c>
      <c r="E28" s="139"/>
      <c r="F28" s="140"/>
      <c r="G28" s="138"/>
    </row>
    <row r="29" spans="1:18">
      <c r="C29" s="69">
        <v>5</v>
      </c>
      <c r="D29" s="223" t="s">
        <v>264</v>
      </c>
      <c r="E29" s="257"/>
      <c r="F29" s="257"/>
      <c r="G29" s="84"/>
      <c r="M29" s="65" t="s">
        <v>112</v>
      </c>
    </row>
    <row r="30" spans="1:18">
      <c r="C30" s="264"/>
      <c r="D30" s="223" t="s">
        <v>265</v>
      </c>
      <c r="E30" s="224"/>
      <c r="F30" s="69"/>
      <c r="G30" s="85" t="s">
        <v>411</v>
      </c>
      <c r="M30" s="65" t="s">
        <v>136</v>
      </c>
    </row>
    <row r="31" spans="1:18">
      <c r="C31" s="285"/>
      <c r="D31" s="223" t="s">
        <v>266</v>
      </c>
      <c r="E31" s="257"/>
      <c r="F31" s="257"/>
      <c r="G31" s="257"/>
      <c r="M31" s="65" t="s">
        <v>565</v>
      </c>
    </row>
    <row r="32" spans="1:18">
      <c r="C32" s="285"/>
      <c r="D32" s="223" t="s">
        <v>263</v>
      </c>
      <c r="E32" s="224"/>
      <c r="F32" s="69"/>
      <c r="G32" s="82" t="s">
        <v>533</v>
      </c>
      <c r="M32" s="65" t="s">
        <v>566</v>
      </c>
    </row>
    <row r="33" spans="2:7">
      <c r="C33" s="285"/>
      <c r="D33" s="223" t="s">
        <v>262</v>
      </c>
      <c r="E33" s="224"/>
      <c r="F33" s="69"/>
      <c r="G33" s="82" t="s">
        <v>534</v>
      </c>
    </row>
    <row r="34" spans="2:7">
      <c r="C34" s="265"/>
      <c r="D34" s="223" t="s">
        <v>268</v>
      </c>
      <c r="E34" s="224"/>
      <c r="F34" s="69"/>
      <c r="G34" s="82"/>
    </row>
    <row r="35" spans="2:7">
      <c r="C35" s="70"/>
      <c r="D35" s="71"/>
      <c r="E35" s="71"/>
      <c r="F35" s="70"/>
      <c r="G35" s="86"/>
    </row>
    <row r="36" spans="2:7">
      <c r="B36" s="66" t="s">
        <v>269</v>
      </c>
      <c r="C36" s="66"/>
      <c r="D36" s="66"/>
      <c r="E36" s="66"/>
      <c r="F36" s="66"/>
      <c r="G36" s="66"/>
    </row>
    <row r="37" spans="2:7">
      <c r="B37" s="66"/>
      <c r="C37" s="87" t="s">
        <v>10</v>
      </c>
      <c r="D37" s="88" t="s">
        <v>45</v>
      </c>
      <c r="E37" s="89"/>
      <c r="F37" s="90" t="s">
        <v>274</v>
      </c>
      <c r="G37" s="90" t="s">
        <v>148</v>
      </c>
    </row>
    <row r="38" spans="2:7">
      <c r="B38" s="66"/>
      <c r="C38" s="91"/>
      <c r="D38" s="92"/>
      <c r="E38" s="93"/>
      <c r="F38" s="94"/>
      <c r="G38" s="77" t="s">
        <v>248</v>
      </c>
    </row>
    <row r="39" spans="2:7" ht="25.5" customHeight="1">
      <c r="B39" s="66"/>
      <c r="C39" s="91">
        <v>1</v>
      </c>
      <c r="D39" s="221" t="s">
        <v>270</v>
      </c>
      <c r="E39" s="222"/>
      <c r="F39" s="94"/>
      <c r="G39" s="77" t="s">
        <v>401</v>
      </c>
    </row>
    <row r="40" spans="2:7" ht="30" customHeight="1">
      <c r="B40" s="66"/>
      <c r="C40" s="95"/>
      <c r="D40" s="221" t="s">
        <v>271</v>
      </c>
      <c r="E40" s="222"/>
      <c r="F40" s="96"/>
      <c r="G40" s="96" t="s">
        <v>275</v>
      </c>
    </row>
    <row r="41" spans="2:7" ht="28.5" customHeight="1">
      <c r="B41" s="66"/>
      <c r="C41" s="97"/>
      <c r="D41" s="255" t="s">
        <v>272</v>
      </c>
      <c r="E41" s="256"/>
      <c r="F41" s="96"/>
      <c r="G41" s="98" t="s">
        <v>276</v>
      </c>
    </row>
    <row r="42" spans="2:7" ht="30" customHeight="1">
      <c r="B42" s="66"/>
      <c r="C42" s="99"/>
      <c r="D42" s="221" t="s">
        <v>273</v>
      </c>
      <c r="E42" s="222"/>
      <c r="F42" s="96"/>
      <c r="G42" s="98" t="s">
        <v>277</v>
      </c>
    </row>
    <row r="43" spans="2:7" ht="34.5" customHeight="1">
      <c r="B43" s="66"/>
      <c r="C43" s="98">
        <v>2</v>
      </c>
      <c r="D43" s="221" t="s">
        <v>402</v>
      </c>
      <c r="E43" s="258"/>
      <c r="F43" s="258"/>
      <c r="G43" s="222"/>
    </row>
    <row r="44" spans="2:7" ht="17.25" customHeight="1">
      <c r="B44" s="66"/>
      <c r="C44" s="95"/>
      <c r="D44" s="251" t="s">
        <v>278</v>
      </c>
      <c r="E44" s="252"/>
      <c r="F44" s="68" t="s">
        <v>279</v>
      </c>
      <c r="G44" s="69" t="s">
        <v>406</v>
      </c>
    </row>
    <row r="45" spans="2:7" ht="89.25">
      <c r="B45" s="66"/>
      <c r="C45" s="99"/>
      <c r="D45" s="305"/>
      <c r="E45" s="306"/>
      <c r="F45" s="117" t="s">
        <v>280</v>
      </c>
      <c r="G45" s="194" t="s">
        <v>535</v>
      </c>
    </row>
    <row r="46" spans="2:7" ht="33" customHeight="1">
      <c r="B46" s="66"/>
      <c r="C46" s="98">
        <v>3</v>
      </c>
      <c r="D46" s="221" t="s">
        <v>403</v>
      </c>
      <c r="E46" s="258"/>
      <c r="F46" s="258"/>
      <c r="G46" s="222"/>
    </row>
    <row r="47" spans="2:7" ht="18" customHeight="1">
      <c r="B47" s="66"/>
      <c r="C47" s="280"/>
      <c r="D47" s="251" t="s">
        <v>556</v>
      </c>
      <c r="E47" s="252"/>
      <c r="F47" s="68" t="s">
        <v>50</v>
      </c>
      <c r="G47" s="69" t="s">
        <v>406</v>
      </c>
    </row>
    <row r="48" spans="2:7" ht="102">
      <c r="B48" s="66"/>
      <c r="C48" s="281"/>
      <c r="D48" s="305"/>
      <c r="E48" s="306"/>
      <c r="F48" s="68" t="s">
        <v>51</v>
      </c>
      <c r="G48" s="194" t="s">
        <v>536</v>
      </c>
    </row>
    <row r="49" spans="1:18" ht="18" customHeight="1">
      <c r="B49" s="66"/>
      <c r="C49" s="280"/>
      <c r="D49" s="251" t="s">
        <v>557</v>
      </c>
      <c r="E49" s="252"/>
      <c r="F49" s="68" t="s">
        <v>50</v>
      </c>
      <c r="G49" s="69" t="s">
        <v>558</v>
      </c>
    </row>
    <row r="50" spans="1:18" ht="102">
      <c r="B50" s="66"/>
      <c r="C50" s="281"/>
      <c r="D50" s="305"/>
      <c r="E50" s="306"/>
      <c r="F50" s="68" t="s">
        <v>51</v>
      </c>
      <c r="G50" s="194" t="s">
        <v>559</v>
      </c>
    </row>
    <row r="51" spans="1:18">
      <c r="C51" s="100"/>
      <c r="D51" s="101"/>
      <c r="E51" s="101"/>
      <c r="F51" s="102"/>
      <c r="G51" s="103"/>
    </row>
    <row r="52" spans="1:18" s="66" customFormat="1">
      <c r="A52" s="123" t="s">
        <v>49</v>
      </c>
      <c r="R52" s="65"/>
    </row>
    <row r="53" spans="1:18" s="66" customFormat="1" ht="12.75">
      <c r="B53" s="66" t="s">
        <v>247</v>
      </c>
    </row>
    <row r="54" spans="1:18" s="66" customFormat="1" ht="12.75">
      <c r="B54" s="66" t="s">
        <v>152</v>
      </c>
    </row>
    <row r="55" spans="1:18">
      <c r="B55" s="66"/>
      <c r="C55" s="264" t="s">
        <v>10</v>
      </c>
      <c r="D55" s="266" t="s">
        <v>45</v>
      </c>
      <c r="E55" s="267"/>
      <c r="F55" s="270" t="s">
        <v>15</v>
      </c>
      <c r="G55" s="77" t="s">
        <v>148</v>
      </c>
      <c r="H55" s="66"/>
      <c r="R55" s="66"/>
    </row>
    <row r="56" spans="1:18">
      <c r="B56" s="66"/>
      <c r="C56" s="265"/>
      <c r="D56" s="268"/>
      <c r="E56" s="269"/>
      <c r="F56" s="271"/>
      <c r="G56" s="77" t="s">
        <v>248</v>
      </c>
      <c r="H56" s="66"/>
    </row>
    <row r="57" spans="1:18">
      <c r="B57" s="66"/>
      <c r="C57" s="289">
        <v>1</v>
      </c>
      <c r="D57" s="260" t="s">
        <v>537</v>
      </c>
      <c r="E57" s="282"/>
      <c r="F57" s="68" t="s">
        <v>50</v>
      </c>
      <c r="G57" s="69" t="s">
        <v>407</v>
      </c>
      <c r="H57" s="66"/>
    </row>
    <row r="58" spans="1:18" ht="102">
      <c r="B58" s="66"/>
      <c r="C58" s="289"/>
      <c r="D58" s="261"/>
      <c r="E58" s="283"/>
      <c r="F58" s="117" t="s">
        <v>51</v>
      </c>
      <c r="G58" s="194" t="s">
        <v>538</v>
      </c>
      <c r="H58" s="66"/>
    </row>
    <row r="59" spans="1:18">
      <c r="B59" s="66"/>
      <c r="C59" s="280">
        <v>2</v>
      </c>
      <c r="D59" s="260" t="s">
        <v>539</v>
      </c>
      <c r="E59" s="267"/>
      <c r="F59" s="68" t="s">
        <v>50</v>
      </c>
      <c r="G59" s="69" t="s">
        <v>540</v>
      </c>
      <c r="H59" s="66"/>
    </row>
    <row r="60" spans="1:18" ht="102">
      <c r="B60" s="66"/>
      <c r="C60" s="281"/>
      <c r="D60" s="261"/>
      <c r="E60" s="269"/>
      <c r="F60" s="117" t="s">
        <v>51</v>
      </c>
      <c r="G60" s="194" t="s">
        <v>541</v>
      </c>
      <c r="H60" s="66"/>
    </row>
    <row r="61" spans="1:18">
      <c r="B61" s="66"/>
      <c r="C61" s="69">
        <v>3</v>
      </c>
      <c r="D61" s="81" t="s">
        <v>158</v>
      </c>
      <c r="E61" s="84"/>
      <c r="F61" s="69"/>
      <c r="G61" s="69" t="s">
        <v>405</v>
      </c>
      <c r="H61" s="66"/>
    </row>
    <row r="62" spans="1:18">
      <c r="B62" s="66"/>
      <c r="C62" s="70"/>
      <c r="D62" s="66"/>
      <c r="E62" s="66"/>
      <c r="F62" s="70"/>
      <c r="G62" s="70"/>
      <c r="H62" s="66"/>
    </row>
    <row r="63" spans="1:18">
      <c r="B63" s="66" t="s">
        <v>153</v>
      </c>
      <c r="C63" s="66"/>
      <c r="D63" s="66"/>
      <c r="E63" s="66"/>
      <c r="F63" s="66"/>
      <c r="G63" s="66"/>
      <c r="H63" s="66"/>
    </row>
    <row r="64" spans="1:18">
      <c r="B64" s="66"/>
      <c r="C64" s="104" t="s">
        <v>10</v>
      </c>
      <c r="D64" s="105" t="s">
        <v>45</v>
      </c>
      <c r="E64" s="106"/>
      <c r="F64" s="77"/>
      <c r="G64" s="77" t="s">
        <v>248</v>
      </c>
      <c r="H64" s="66"/>
    </row>
    <row r="65" spans="2:8" ht="20.25" customHeight="1">
      <c r="B65" s="66"/>
      <c r="C65" s="98">
        <v>1</v>
      </c>
      <c r="D65" s="221" t="s">
        <v>283</v>
      </c>
      <c r="E65" s="258"/>
      <c r="F65" s="258"/>
      <c r="G65" s="222"/>
      <c r="H65" s="66"/>
    </row>
    <row r="66" spans="2:8">
      <c r="B66" s="66"/>
      <c r="C66" s="264"/>
      <c r="D66" s="78" t="s">
        <v>284</v>
      </c>
      <c r="E66" s="106"/>
      <c r="F66" s="77"/>
      <c r="G66" s="77" t="s">
        <v>286</v>
      </c>
      <c r="H66" s="66"/>
    </row>
    <row r="67" spans="2:8" ht="15.75" customHeight="1">
      <c r="B67" s="66"/>
      <c r="C67" s="265"/>
      <c r="D67" s="221" t="s">
        <v>285</v>
      </c>
      <c r="E67" s="222"/>
      <c r="F67" s="77"/>
      <c r="G67" s="77" t="s">
        <v>287</v>
      </c>
      <c r="H67" s="66"/>
    </row>
    <row r="68" spans="2:8" ht="20.25" customHeight="1">
      <c r="B68" s="66"/>
      <c r="C68" s="98">
        <v>2</v>
      </c>
      <c r="D68" s="221" t="s">
        <v>288</v>
      </c>
      <c r="E68" s="258"/>
      <c r="F68" s="258"/>
      <c r="G68" s="222"/>
      <c r="H68" s="66"/>
    </row>
    <row r="69" spans="2:8">
      <c r="B69" s="66"/>
      <c r="C69" s="264"/>
      <c r="D69" s="78" t="s">
        <v>284</v>
      </c>
      <c r="E69" s="106"/>
      <c r="F69" s="77"/>
      <c r="G69" s="77" t="s">
        <v>289</v>
      </c>
      <c r="H69" s="66"/>
    </row>
    <row r="70" spans="2:8" ht="15.75" customHeight="1">
      <c r="B70" s="66"/>
      <c r="C70" s="265"/>
      <c r="D70" s="221" t="s">
        <v>285</v>
      </c>
      <c r="E70" s="222"/>
      <c r="F70" s="77"/>
      <c r="G70" s="77" t="s">
        <v>290</v>
      </c>
      <c r="H70" s="66"/>
    </row>
    <row r="71" spans="2:8" ht="20.25" customHeight="1">
      <c r="B71" s="66"/>
      <c r="C71" s="98">
        <v>3</v>
      </c>
      <c r="D71" s="221" t="s">
        <v>542</v>
      </c>
      <c r="E71" s="258"/>
      <c r="F71" s="258"/>
      <c r="G71" s="222"/>
      <c r="H71" s="66"/>
    </row>
    <row r="72" spans="2:8">
      <c r="B72" s="66"/>
      <c r="C72" s="264"/>
      <c r="D72" s="78" t="s">
        <v>284</v>
      </c>
      <c r="E72" s="106"/>
      <c r="F72" s="77"/>
      <c r="G72" s="77" t="s">
        <v>543</v>
      </c>
      <c r="H72" s="66"/>
    </row>
    <row r="73" spans="2:8" ht="15.75" customHeight="1">
      <c r="B73" s="66"/>
      <c r="C73" s="265"/>
      <c r="D73" s="221" t="s">
        <v>285</v>
      </c>
      <c r="E73" s="222"/>
      <c r="F73" s="77"/>
      <c r="G73" s="77" t="s">
        <v>544</v>
      </c>
      <c r="H73" s="66"/>
    </row>
    <row r="74" spans="2:8" ht="34.5" customHeight="1">
      <c r="B74" s="66"/>
      <c r="C74" s="98">
        <v>4</v>
      </c>
      <c r="D74" s="221" t="s">
        <v>291</v>
      </c>
      <c r="E74" s="222"/>
      <c r="F74" s="107"/>
      <c r="G74" s="98" t="s">
        <v>408</v>
      </c>
      <c r="H74" s="66"/>
    </row>
    <row r="75" spans="2:8">
      <c r="B75" s="66"/>
      <c r="C75" s="98">
        <v>5</v>
      </c>
      <c r="D75" s="221" t="s">
        <v>154</v>
      </c>
      <c r="E75" s="222"/>
      <c r="F75" s="107" t="s">
        <v>292</v>
      </c>
      <c r="G75" s="98">
        <v>0.2</v>
      </c>
      <c r="H75" s="66"/>
    </row>
    <row r="76" spans="2:8">
      <c r="B76" s="66"/>
      <c r="C76" s="98">
        <v>6</v>
      </c>
      <c r="D76" s="221" t="s">
        <v>155</v>
      </c>
      <c r="E76" s="222"/>
      <c r="F76" s="107" t="s">
        <v>292</v>
      </c>
      <c r="G76" s="98">
        <v>0.2</v>
      </c>
      <c r="H76" s="66"/>
    </row>
    <row r="77" spans="2:8">
      <c r="B77" s="66"/>
      <c r="C77" s="98">
        <v>7</v>
      </c>
      <c r="D77" s="221" t="s">
        <v>156</v>
      </c>
      <c r="E77" s="222"/>
      <c r="F77" s="107" t="s">
        <v>292</v>
      </c>
      <c r="G77" s="98">
        <v>0.2</v>
      </c>
      <c r="H77" s="66"/>
    </row>
    <row r="78" spans="2:8">
      <c r="B78" s="66"/>
      <c r="C78" s="98">
        <v>8</v>
      </c>
      <c r="D78" s="221" t="s">
        <v>157</v>
      </c>
      <c r="E78" s="222"/>
      <c r="F78" s="107" t="s">
        <v>292</v>
      </c>
      <c r="G78" s="98">
        <v>0.3</v>
      </c>
      <c r="H78" s="66"/>
    </row>
    <row r="79" spans="2:8">
      <c r="B79" s="66"/>
      <c r="C79" s="98">
        <v>9</v>
      </c>
      <c r="D79" s="221" t="s">
        <v>545</v>
      </c>
      <c r="E79" s="222"/>
      <c r="F79" s="107" t="s">
        <v>292</v>
      </c>
      <c r="G79" s="98">
        <v>0.5</v>
      </c>
      <c r="H79" s="66"/>
    </row>
    <row r="80" spans="2:8">
      <c r="B80" s="66"/>
      <c r="C80" s="98">
        <v>10</v>
      </c>
      <c r="D80" s="221" t="s">
        <v>546</v>
      </c>
      <c r="E80" s="222"/>
      <c r="F80" s="107" t="s">
        <v>292</v>
      </c>
      <c r="G80" s="98">
        <v>0.6</v>
      </c>
      <c r="H80" s="66"/>
    </row>
    <row r="81" spans="2:8">
      <c r="B81" s="66"/>
      <c r="C81" s="110"/>
      <c r="D81" s="86"/>
      <c r="E81" s="86"/>
      <c r="F81" s="109"/>
      <c r="G81" s="110"/>
      <c r="H81" s="66"/>
    </row>
    <row r="82" spans="2:8">
      <c r="B82" s="126" t="s">
        <v>413</v>
      </c>
      <c r="C82" s="110"/>
      <c r="D82" s="86"/>
      <c r="E82" s="86"/>
      <c r="F82" s="109"/>
      <c r="G82" s="110"/>
      <c r="H82" s="66"/>
    </row>
    <row r="83" spans="2:8" ht="21" customHeight="1">
      <c r="B83" s="295" t="s">
        <v>414</v>
      </c>
      <c r="C83" s="295"/>
      <c r="D83" s="295"/>
      <c r="E83" s="295"/>
      <c r="F83" s="295"/>
      <c r="G83" s="295"/>
      <c r="H83" s="295"/>
    </row>
    <row r="84" spans="2:8" ht="28.5" customHeight="1">
      <c r="B84" s="66"/>
      <c r="C84" s="66"/>
      <c r="D84" s="293" t="s">
        <v>52</v>
      </c>
      <c r="E84" s="294"/>
      <c r="F84" s="108"/>
      <c r="G84" s="77" t="s">
        <v>248</v>
      </c>
      <c r="H84" s="66"/>
    </row>
    <row r="85" spans="2:8">
      <c r="B85" s="66"/>
      <c r="C85" s="66"/>
      <c r="D85" s="262" t="s">
        <v>53</v>
      </c>
      <c r="E85" s="263"/>
      <c r="F85" s="106"/>
      <c r="G85" s="98">
        <v>7</v>
      </c>
      <c r="H85" s="66"/>
    </row>
    <row r="86" spans="2:8">
      <c r="B86" s="66"/>
      <c r="C86" s="66"/>
      <c r="D86" s="262" t="s">
        <v>54</v>
      </c>
      <c r="E86" s="263"/>
      <c r="F86" s="106"/>
      <c r="G86" s="98">
        <v>5</v>
      </c>
      <c r="H86" s="66"/>
    </row>
    <row r="87" spans="2:8">
      <c r="B87" s="66"/>
      <c r="C87" s="66"/>
      <c r="D87" s="262" t="s">
        <v>55</v>
      </c>
      <c r="E87" s="263"/>
      <c r="F87" s="106"/>
      <c r="G87" s="98">
        <v>3</v>
      </c>
      <c r="H87" s="66"/>
    </row>
    <row r="88" spans="2:8">
      <c r="B88" s="66"/>
      <c r="C88" s="66"/>
      <c r="D88" s="262" t="s">
        <v>56</v>
      </c>
      <c r="E88" s="263"/>
      <c r="F88" s="106"/>
      <c r="G88" s="98">
        <v>2</v>
      </c>
      <c r="H88" s="66"/>
    </row>
    <row r="89" spans="2:8">
      <c r="B89" s="66"/>
      <c r="C89" s="66"/>
      <c r="D89" s="262" t="s">
        <v>57</v>
      </c>
      <c r="E89" s="263"/>
      <c r="F89" s="106"/>
      <c r="G89" s="98">
        <v>1</v>
      </c>
      <c r="H89" s="66"/>
    </row>
    <row r="90" spans="2:8">
      <c r="B90" s="66"/>
      <c r="C90" s="66"/>
      <c r="D90" s="124"/>
      <c r="E90" s="124"/>
      <c r="F90" s="125"/>
      <c r="G90" s="125"/>
      <c r="H90" s="66"/>
    </row>
    <row r="91" spans="2:8" ht="29.25" customHeight="1">
      <c r="B91" s="310" t="s">
        <v>282</v>
      </c>
      <c r="C91" s="310"/>
      <c r="D91" s="310"/>
      <c r="E91" s="310"/>
      <c r="F91" s="310"/>
      <c r="G91" s="310"/>
      <c r="H91" s="310"/>
    </row>
    <row r="92" spans="2:8" ht="24.75" customHeight="1">
      <c r="B92" s="128" t="s">
        <v>415</v>
      </c>
      <c r="C92" s="66"/>
      <c r="D92" s="109"/>
      <c r="E92" s="109"/>
      <c r="F92" s="110"/>
      <c r="G92" s="110"/>
      <c r="H92" s="66"/>
    </row>
    <row r="93" spans="2:8">
      <c r="B93" s="66"/>
      <c r="C93" s="66"/>
      <c r="D93" s="109"/>
      <c r="E93" s="109"/>
      <c r="F93" s="110"/>
      <c r="G93" s="110"/>
      <c r="H93" s="66"/>
    </row>
    <row r="94" spans="2:8">
      <c r="B94" s="66"/>
      <c r="C94" s="66"/>
      <c r="D94" s="293" t="s">
        <v>159</v>
      </c>
      <c r="E94" s="294"/>
      <c r="F94" s="108"/>
      <c r="G94" s="77" t="s">
        <v>248</v>
      </c>
      <c r="H94" s="66"/>
    </row>
    <row r="95" spans="2:8">
      <c r="B95" s="66"/>
      <c r="C95" s="66"/>
      <c r="D95" s="262" t="s">
        <v>160</v>
      </c>
      <c r="E95" s="263"/>
      <c r="F95" s="106"/>
      <c r="G95" s="98">
        <v>12</v>
      </c>
      <c r="H95" s="66"/>
    </row>
    <row r="96" spans="2:8">
      <c r="B96" s="66"/>
      <c r="C96" s="66"/>
      <c r="D96" s="262" t="s">
        <v>161</v>
      </c>
      <c r="E96" s="263"/>
      <c r="F96" s="106"/>
      <c r="G96" s="98">
        <v>10</v>
      </c>
      <c r="H96" s="66"/>
    </row>
    <row r="97" spans="2:8">
      <c r="B97" s="66"/>
      <c r="C97" s="66"/>
      <c r="D97" s="262" t="s">
        <v>162</v>
      </c>
      <c r="E97" s="263"/>
      <c r="F97" s="106"/>
      <c r="G97" s="98">
        <v>8</v>
      </c>
      <c r="H97" s="66"/>
    </row>
    <row r="98" spans="2:8">
      <c r="B98" s="66"/>
      <c r="C98" s="66"/>
      <c r="D98" s="262" t="s">
        <v>163</v>
      </c>
      <c r="E98" s="263"/>
      <c r="F98" s="106"/>
      <c r="G98" s="98">
        <v>7</v>
      </c>
      <c r="H98" s="66"/>
    </row>
    <row r="99" spans="2:8">
      <c r="B99" s="66"/>
      <c r="C99" s="66"/>
      <c r="D99" s="262" t="s">
        <v>164</v>
      </c>
      <c r="E99" s="263"/>
      <c r="F99" s="106"/>
      <c r="G99" s="98">
        <v>5</v>
      </c>
      <c r="H99" s="66"/>
    </row>
    <row r="100" spans="2:8">
      <c r="B100" s="66"/>
      <c r="C100" s="66"/>
      <c r="D100" s="262" t="s">
        <v>165</v>
      </c>
      <c r="E100" s="263"/>
      <c r="F100" s="106"/>
      <c r="G100" s="98">
        <v>3</v>
      </c>
      <c r="H100" s="66"/>
    </row>
    <row r="101" spans="2:8">
      <c r="B101" s="66"/>
      <c r="C101" s="66"/>
      <c r="D101" s="262" t="s">
        <v>166</v>
      </c>
      <c r="E101" s="263"/>
      <c r="F101" s="106"/>
      <c r="G101" s="98">
        <v>2</v>
      </c>
      <c r="H101" s="66"/>
    </row>
    <row r="102" spans="2:8">
      <c r="B102" s="66"/>
      <c r="C102" s="66"/>
      <c r="D102" s="262" t="s">
        <v>167</v>
      </c>
      <c r="E102" s="263"/>
      <c r="F102" s="106"/>
      <c r="G102" s="98">
        <v>1</v>
      </c>
      <c r="H102" s="66"/>
    </row>
    <row r="103" spans="2:8">
      <c r="C103" s="66"/>
      <c r="D103" s="124"/>
      <c r="E103" s="124"/>
      <c r="F103" s="125"/>
      <c r="G103" s="125"/>
      <c r="H103" s="66"/>
    </row>
    <row r="104" spans="2:8">
      <c r="B104" s="66" t="s">
        <v>293</v>
      </c>
      <c r="C104" s="66"/>
      <c r="D104" s="109"/>
      <c r="E104" s="109"/>
      <c r="F104" s="110"/>
      <c r="G104" s="110"/>
      <c r="H104" s="66"/>
    </row>
    <row r="105" spans="2:8" ht="16.5" customHeight="1">
      <c r="C105" s="66"/>
      <c r="D105" s="109"/>
      <c r="E105" s="109"/>
      <c r="F105" s="110" t="s">
        <v>296</v>
      </c>
      <c r="G105" s="110"/>
      <c r="H105" s="66"/>
    </row>
    <row r="106" spans="2:8" ht="16.5" customHeight="1">
      <c r="B106" s="66"/>
      <c r="C106" s="264" t="s">
        <v>10</v>
      </c>
      <c r="D106" s="266" t="s">
        <v>45</v>
      </c>
      <c r="E106" s="267"/>
      <c r="F106" s="270" t="s">
        <v>295</v>
      </c>
      <c r="G106" s="77" t="s">
        <v>148</v>
      </c>
      <c r="H106" s="66"/>
    </row>
    <row r="107" spans="2:8" ht="16.5" customHeight="1">
      <c r="B107" s="66"/>
      <c r="C107" s="265"/>
      <c r="D107" s="268"/>
      <c r="E107" s="269"/>
      <c r="F107" s="271"/>
      <c r="G107" s="77" t="s">
        <v>248</v>
      </c>
      <c r="H107" s="66"/>
    </row>
    <row r="108" spans="2:8" ht="16.5" customHeight="1">
      <c r="B108" s="66"/>
      <c r="C108" s="98">
        <v>3</v>
      </c>
      <c r="D108" s="111" t="s">
        <v>294</v>
      </c>
      <c r="E108" s="112"/>
      <c r="F108" s="68"/>
      <c r="G108" s="69" t="s">
        <v>297</v>
      </c>
      <c r="H108" s="66"/>
    </row>
    <row r="109" spans="2:8" ht="67.5" customHeight="1">
      <c r="B109" s="66"/>
      <c r="C109" s="113">
        <v>4</v>
      </c>
      <c r="D109" s="221" t="s">
        <v>419</v>
      </c>
      <c r="E109" s="222"/>
      <c r="F109" s="96" t="s">
        <v>298</v>
      </c>
      <c r="G109" s="116" t="s">
        <v>302</v>
      </c>
      <c r="H109" s="66"/>
    </row>
    <row r="110" spans="2:8" ht="54.75" customHeight="1">
      <c r="B110" s="66"/>
      <c r="C110" s="113">
        <v>5</v>
      </c>
      <c r="D110" s="221" t="s">
        <v>416</v>
      </c>
      <c r="E110" s="222"/>
      <c r="F110" s="96" t="s">
        <v>300</v>
      </c>
      <c r="G110" s="98" t="s">
        <v>301</v>
      </c>
      <c r="H110" s="66"/>
    </row>
    <row r="111" spans="2:8" ht="20.25" customHeight="1">
      <c r="B111" s="66"/>
      <c r="C111" s="280">
        <v>6</v>
      </c>
      <c r="D111" s="221" t="s">
        <v>303</v>
      </c>
      <c r="E111" s="258"/>
      <c r="F111" s="258"/>
      <c r="G111" s="258"/>
      <c r="H111" s="66"/>
    </row>
    <row r="112" spans="2:8" ht="25.5" customHeight="1">
      <c r="B112" s="66"/>
      <c r="C112" s="284"/>
      <c r="D112" s="311" t="s">
        <v>417</v>
      </c>
      <c r="E112" s="114" t="s">
        <v>547</v>
      </c>
      <c r="F112" s="96" t="s">
        <v>300</v>
      </c>
      <c r="G112" s="98" t="s">
        <v>305</v>
      </c>
      <c r="H112" s="66"/>
    </row>
    <row r="113" spans="2:8" ht="25.5" customHeight="1">
      <c r="B113" s="66"/>
      <c r="C113" s="284"/>
      <c r="D113" s="312"/>
      <c r="E113" s="114" t="s">
        <v>511</v>
      </c>
      <c r="F113" s="96"/>
      <c r="G113" s="98" t="s">
        <v>301</v>
      </c>
      <c r="H113" s="66"/>
    </row>
    <row r="114" spans="2:8" ht="25.5" customHeight="1">
      <c r="B114" s="66"/>
      <c r="C114" s="284"/>
      <c r="D114" s="311" t="s">
        <v>418</v>
      </c>
      <c r="E114" s="114" t="s">
        <v>547</v>
      </c>
      <c r="F114" s="96" t="s">
        <v>300</v>
      </c>
      <c r="G114" s="98" t="s">
        <v>306</v>
      </c>
      <c r="H114" s="66"/>
    </row>
    <row r="115" spans="2:8" ht="25.5" customHeight="1">
      <c r="B115" s="66"/>
      <c r="C115" s="281"/>
      <c r="D115" s="312"/>
      <c r="E115" s="114" t="s">
        <v>511</v>
      </c>
      <c r="F115" s="196"/>
      <c r="G115" s="98" t="s">
        <v>548</v>
      </c>
      <c r="H115" s="66"/>
    </row>
    <row r="116" spans="2:8" ht="22.5" customHeight="1">
      <c r="B116" s="66"/>
      <c r="C116" s="113">
        <v>7</v>
      </c>
      <c r="D116" s="221" t="s">
        <v>304</v>
      </c>
      <c r="E116" s="258"/>
      <c r="F116" s="258"/>
      <c r="G116" s="222"/>
      <c r="H116" s="66"/>
    </row>
    <row r="117" spans="2:8" ht="22.5" customHeight="1">
      <c r="B117" s="66"/>
      <c r="C117" s="113"/>
      <c r="D117" s="82" t="s">
        <v>549</v>
      </c>
      <c r="E117" s="138"/>
      <c r="F117" s="96" t="s">
        <v>300</v>
      </c>
      <c r="G117" s="98" t="s">
        <v>305</v>
      </c>
      <c r="H117" s="66"/>
    </row>
    <row r="118" spans="2:8" ht="23.25" customHeight="1">
      <c r="B118" s="66"/>
      <c r="C118" s="280"/>
      <c r="D118" s="82" t="s">
        <v>307</v>
      </c>
      <c r="E118" s="114"/>
      <c r="F118" s="96" t="s">
        <v>300</v>
      </c>
      <c r="G118" s="98" t="s">
        <v>306</v>
      </c>
      <c r="H118" s="66"/>
    </row>
    <row r="119" spans="2:8" ht="20.25" customHeight="1">
      <c r="B119" s="66"/>
      <c r="C119" s="284"/>
      <c r="D119" s="82" t="s">
        <v>308</v>
      </c>
      <c r="E119" s="114"/>
      <c r="F119" s="96" t="s">
        <v>300</v>
      </c>
      <c r="G119" s="98" t="s">
        <v>305</v>
      </c>
      <c r="H119" s="66"/>
    </row>
    <row r="120" spans="2:8" ht="20.25" customHeight="1">
      <c r="B120" s="66"/>
      <c r="C120" s="281"/>
      <c r="D120" s="221" t="s">
        <v>309</v>
      </c>
      <c r="E120" s="222"/>
      <c r="F120" s="96" t="s">
        <v>300</v>
      </c>
      <c r="G120" s="98" t="s">
        <v>306</v>
      </c>
      <c r="H120" s="66"/>
    </row>
    <row r="121" spans="2:8">
      <c r="B121" s="66"/>
      <c r="C121" s="66"/>
      <c r="D121" s="66"/>
      <c r="E121" s="66"/>
      <c r="F121" s="66"/>
      <c r="G121" s="66"/>
      <c r="H121" s="66"/>
    </row>
    <row r="122" spans="2:8">
      <c r="B122" s="66" t="s">
        <v>299</v>
      </c>
      <c r="C122" s="66"/>
      <c r="D122" s="66"/>
      <c r="E122" s="66"/>
      <c r="F122" s="66"/>
      <c r="G122" s="66"/>
      <c r="H122" s="66"/>
    </row>
    <row r="123" spans="2:8">
      <c r="B123" s="66"/>
      <c r="C123" s="104" t="s">
        <v>10</v>
      </c>
      <c r="D123" s="248" t="s">
        <v>317</v>
      </c>
      <c r="E123" s="249"/>
      <c r="F123" s="250"/>
      <c r="G123" s="77" t="s">
        <v>248</v>
      </c>
      <c r="H123" s="66"/>
    </row>
    <row r="124" spans="2:8" ht="25.5">
      <c r="B124" s="66"/>
      <c r="C124" s="96">
        <v>1</v>
      </c>
      <c r="D124" s="94" t="s">
        <v>310</v>
      </c>
      <c r="E124" s="251" t="s">
        <v>59</v>
      </c>
      <c r="F124" s="252"/>
      <c r="G124" s="69">
        <v>2</v>
      </c>
      <c r="H124" s="66"/>
    </row>
    <row r="125" spans="2:8" ht="25.5">
      <c r="B125" s="66"/>
      <c r="C125" s="96">
        <v>2</v>
      </c>
      <c r="D125" s="115" t="s">
        <v>311</v>
      </c>
      <c r="E125" s="251" t="s">
        <v>59</v>
      </c>
      <c r="F125" s="252"/>
      <c r="G125" s="98">
        <v>1</v>
      </c>
      <c r="H125" s="66"/>
    </row>
    <row r="126" spans="2:8" ht="25.5">
      <c r="B126" s="66"/>
      <c r="C126" s="96">
        <v>3</v>
      </c>
      <c r="D126" s="115" t="s">
        <v>312</v>
      </c>
      <c r="E126" s="251" t="s">
        <v>314</v>
      </c>
      <c r="F126" s="252"/>
      <c r="G126" s="98">
        <v>0.2</v>
      </c>
      <c r="H126" s="66"/>
    </row>
    <row r="127" spans="2:8" ht="26.25" customHeight="1">
      <c r="B127" s="66"/>
      <c r="C127" s="96">
        <v>4</v>
      </c>
      <c r="D127" s="115" t="s">
        <v>313</v>
      </c>
      <c r="E127" s="251" t="s">
        <v>315</v>
      </c>
      <c r="F127" s="252"/>
      <c r="G127" s="98">
        <v>0.3</v>
      </c>
      <c r="H127" s="66"/>
    </row>
    <row r="128" spans="2:8" ht="26.25" customHeight="1">
      <c r="B128" s="66"/>
      <c r="C128" s="96">
        <v>5</v>
      </c>
      <c r="D128" s="115" t="s">
        <v>518</v>
      </c>
      <c r="E128" s="251" t="s">
        <v>314</v>
      </c>
      <c r="F128" s="252"/>
      <c r="G128" s="98">
        <v>0.5</v>
      </c>
      <c r="H128" s="66"/>
    </row>
    <row r="129" spans="2:8" ht="26.25" customHeight="1">
      <c r="B129" s="66"/>
      <c r="C129" s="96">
        <v>6</v>
      </c>
      <c r="D129" s="115" t="s">
        <v>519</v>
      </c>
      <c r="E129" s="251" t="s">
        <v>315</v>
      </c>
      <c r="F129" s="252"/>
      <c r="G129" s="98">
        <v>0.6</v>
      </c>
      <c r="H129" s="66"/>
    </row>
    <row r="130" spans="2:8" ht="25.5">
      <c r="B130" s="66"/>
      <c r="C130" s="96">
        <v>7</v>
      </c>
      <c r="D130" s="115" t="s">
        <v>58</v>
      </c>
      <c r="E130" s="251" t="s">
        <v>316</v>
      </c>
      <c r="F130" s="252"/>
      <c r="G130" s="98">
        <v>1</v>
      </c>
      <c r="H130" s="66"/>
    </row>
    <row r="131" spans="2:8" ht="25.5">
      <c r="B131" s="66"/>
      <c r="C131" s="96">
        <v>8</v>
      </c>
      <c r="D131" s="115" t="s">
        <v>319</v>
      </c>
      <c r="E131" s="251" t="s">
        <v>318</v>
      </c>
      <c r="F131" s="252"/>
      <c r="G131" s="98">
        <v>5</v>
      </c>
      <c r="H131" s="66"/>
    </row>
    <row r="132" spans="2:8" ht="25.5">
      <c r="B132" s="66"/>
      <c r="C132" s="96">
        <v>9</v>
      </c>
      <c r="D132" s="115" t="s">
        <v>420</v>
      </c>
      <c r="E132" s="251" t="s">
        <v>318</v>
      </c>
      <c r="F132" s="252"/>
      <c r="G132" s="98">
        <v>3</v>
      </c>
      <c r="H132" s="66"/>
    </row>
    <row r="133" spans="2:8" ht="30" customHeight="1">
      <c r="B133" s="66"/>
      <c r="C133" s="96">
        <v>10</v>
      </c>
      <c r="D133" s="115" t="s">
        <v>320</v>
      </c>
      <c r="E133" s="251" t="s">
        <v>324</v>
      </c>
      <c r="F133" s="252"/>
      <c r="G133" s="98">
        <v>0.15</v>
      </c>
      <c r="H133" s="66"/>
    </row>
    <row r="134" spans="2:8" ht="14.25" customHeight="1">
      <c r="B134" s="66"/>
      <c r="C134" s="96">
        <v>11</v>
      </c>
      <c r="D134" s="115" t="s">
        <v>321</v>
      </c>
      <c r="E134" s="251" t="s">
        <v>324</v>
      </c>
      <c r="F134" s="252"/>
      <c r="G134" s="98">
        <v>0.3</v>
      </c>
      <c r="H134" s="66"/>
    </row>
    <row r="135" spans="2:8" ht="33.75" customHeight="1">
      <c r="B135" s="66"/>
      <c r="C135" s="290">
        <v>12</v>
      </c>
      <c r="D135" s="291" t="s">
        <v>60</v>
      </c>
      <c r="E135" s="251" t="s">
        <v>61</v>
      </c>
      <c r="F135" s="252"/>
      <c r="G135" s="98" t="s">
        <v>325</v>
      </c>
      <c r="H135" s="66"/>
    </row>
    <row r="136" spans="2:8" ht="36.75" customHeight="1">
      <c r="B136" s="66"/>
      <c r="C136" s="290"/>
      <c r="D136" s="292"/>
      <c r="E136" s="221" t="s">
        <v>62</v>
      </c>
      <c r="F136" s="222"/>
      <c r="G136" s="98" t="s">
        <v>326</v>
      </c>
      <c r="H136" s="66"/>
    </row>
    <row r="137" spans="2:8" ht="36.75" customHeight="1">
      <c r="B137" s="66"/>
      <c r="C137" s="96">
        <v>13</v>
      </c>
      <c r="D137" s="115" t="s">
        <v>322</v>
      </c>
      <c r="E137" s="221"/>
      <c r="F137" s="222"/>
      <c r="G137" s="98" t="s">
        <v>323</v>
      </c>
      <c r="H137" s="66"/>
    </row>
    <row r="138" spans="2:8">
      <c r="B138" s="66"/>
      <c r="C138" s="66"/>
      <c r="D138" s="66"/>
      <c r="E138" s="66"/>
      <c r="F138" s="66"/>
      <c r="G138" s="66"/>
      <c r="H138" s="66"/>
    </row>
    <row r="139" spans="2:8">
      <c r="B139" s="66"/>
      <c r="C139" s="66"/>
      <c r="D139" s="66"/>
      <c r="E139" s="66"/>
      <c r="F139" s="66"/>
      <c r="G139" s="66"/>
      <c r="H139" s="66"/>
    </row>
    <row r="140" spans="2:8">
      <c r="B140" s="310" t="s">
        <v>421</v>
      </c>
      <c r="C140" s="310"/>
      <c r="D140" s="310"/>
      <c r="E140" s="310"/>
      <c r="F140" s="310"/>
      <c r="G140" s="310"/>
      <c r="H140" s="310"/>
    </row>
    <row r="141" spans="2:8">
      <c r="B141" s="127" t="s">
        <v>422</v>
      </c>
      <c r="C141" s="66"/>
      <c r="D141" s="109"/>
      <c r="E141" s="109"/>
      <c r="F141" s="110"/>
      <c r="G141" s="110"/>
      <c r="H141" s="66"/>
    </row>
    <row r="142" spans="2:8">
      <c r="B142" s="66"/>
      <c r="C142" s="66"/>
      <c r="D142" s="109"/>
      <c r="E142" s="109"/>
      <c r="F142" s="110"/>
      <c r="G142" s="110"/>
      <c r="H142" s="66"/>
    </row>
    <row r="143" spans="2:8">
      <c r="B143" s="66"/>
      <c r="C143" s="66"/>
      <c r="D143" s="293" t="s">
        <v>159</v>
      </c>
      <c r="E143" s="294"/>
      <c r="F143" s="77" t="s">
        <v>248</v>
      </c>
      <c r="G143" s="66"/>
    </row>
    <row r="144" spans="2:8">
      <c r="B144" s="66"/>
      <c r="C144" s="66"/>
      <c r="D144" s="262" t="s">
        <v>160</v>
      </c>
      <c r="E144" s="263"/>
      <c r="F144" s="98">
        <v>12</v>
      </c>
      <c r="G144" s="66"/>
    </row>
    <row r="145" spans="2:8">
      <c r="B145" s="66"/>
      <c r="C145" s="66"/>
      <c r="D145" s="262" t="s">
        <v>161</v>
      </c>
      <c r="E145" s="263"/>
      <c r="F145" s="98">
        <v>10</v>
      </c>
      <c r="G145" s="66"/>
    </row>
    <row r="146" spans="2:8">
      <c r="B146" s="66"/>
      <c r="C146" s="66"/>
      <c r="D146" s="262" t="s">
        <v>162</v>
      </c>
      <c r="E146" s="263"/>
      <c r="F146" s="98">
        <v>8</v>
      </c>
      <c r="G146" s="66"/>
    </row>
    <row r="147" spans="2:8">
      <c r="B147" s="66"/>
      <c r="C147" s="66"/>
      <c r="D147" s="262" t="s">
        <v>163</v>
      </c>
      <c r="E147" s="263"/>
      <c r="F147" s="98">
        <v>7</v>
      </c>
      <c r="G147" s="66"/>
    </row>
    <row r="148" spans="2:8">
      <c r="B148" s="66"/>
      <c r="C148" s="66"/>
      <c r="D148" s="262" t="s">
        <v>164</v>
      </c>
      <c r="E148" s="263"/>
      <c r="F148" s="98">
        <v>5</v>
      </c>
      <c r="G148" s="66"/>
    </row>
    <row r="149" spans="2:8">
      <c r="B149" s="66"/>
      <c r="C149" s="66"/>
      <c r="D149" s="262" t="s">
        <v>165</v>
      </c>
      <c r="E149" s="263"/>
      <c r="F149" s="98">
        <v>3</v>
      </c>
      <c r="G149" s="66"/>
    </row>
    <row r="150" spans="2:8">
      <c r="B150" s="66"/>
      <c r="C150" s="66"/>
      <c r="D150" s="262" t="s">
        <v>166</v>
      </c>
      <c r="E150" s="263"/>
      <c r="F150" s="98">
        <v>2</v>
      </c>
      <c r="G150" s="66"/>
    </row>
    <row r="151" spans="2:8">
      <c r="B151" s="66"/>
      <c r="C151" s="66"/>
      <c r="D151" s="262" t="s">
        <v>167</v>
      </c>
      <c r="E151" s="263"/>
      <c r="F151" s="98">
        <v>1</v>
      </c>
      <c r="G151" s="66"/>
    </row>
    <row r="152" spans="2:8">
      <c r="B152" s="66"/>
      <c r="C152" s="66"/>
      <c r="D152" s="66"/>
      <c r="E152" s="66"/>
      <c r="F152" s="66"/>
      <c r="G152" s="66"/>
      <c r="H152" s="66"/>
    </row>
    <row r="153" spans="2:8">
      <c r="B153" s="66"/>
      <c r="C153" s="66"/>
      <c r="D153" s="66"/>
      <c r="E153" s="66"/>
      <c r="F153" s="66"/>
      <c r="G153" s="66"/>
      <c r="H153" s="66"/>
    </row>
    <row r="154" spans="2:8">
      <c r="B154" s="66" t="s">
        <v>327</v>
      </c>
      <c r="C154" s="66"/>
      <c r="D154" s="66"/>
      <c r="E154" s="66"/>
      <c r="F154" s="66"/>
      <c r="G154" s="66"/>
      <c r="H154" s="66"/>
    </row>
    <row r="155" spans="2:8">
      <c r="B155" s="66"/>
      <c r="C155" s="104" t="s">
        <v>10</v>
      </c>
      <c r="D155" s="105" t="s">
        <v>216</v>
      </c>
      <c r="E155" s="80"/>
      <c r="F155" s="116"/>
      <c r="G155" s="77" t="s">
        <v>44</v>
      </c>
      <c r="H155" s="66"/>
    </row>
    <row r="156" spans="2:8" ht="26.45" customHeight="1">
      <c r="B156" s="66"/>
      <c r="C156" s="117">
        <v>1</v>
      </c>
      <c r="D156" s="221" t="s">
        <v>328</v>
      </c>
      <c r="E156" s="222"/>
      <c r="F156" s="118" t="s">
        <v>59</v>
      </c>
      <c r="G156" s="119">
        <v>2</v>
      </c>
      <c r="H156" s="66"/>
    </row>
    <row r="157" spans="2:8" ht="26.45" customHeight="1">
      <c r="B157" s="66"/>
      <c r="C157" s="117">
        <v>2</v>
      </c>
      <c r="D157" s="221" t="s">
        <v>329</v>
      </c>
      <c r="E157" s="222"/>
      <c r="F157" s="118" t="s">
        <v>59</v>
      </c>
      <c r="G157" s="119">
        <v>1</v>
      </c>
      <c r="H157" s="66"/>
    </row>
    <row r="158" spans="2:8">
      <c r="B158" s="66"/>
      <c r="C158" s="117">
        <v>3</v>
      </c>
      <c r="D158" s="223" t="s">
        <v>330</v>
      </c>
      <c r="E158" s="224"/>
      <c r="F158" s="118" t="s">
        <v>59</v>
      </c>
      <c r="G158" s="119">
        <v>0.2</v>
      </c>
      <c r="H158" s="66"/>
    </row>
    <row r="159" spans="2:8" ht="32.25" customHeight="1">
      <c r="B159" s="66"/>
      <c r="C159" s="117">
        <v>4</v>
      </c>
      <c r="D159" s="298" t="s">
        <v>331</v>
      </c>
      <c r="E159" s="299"/>
      <c r="F159" s="118" t="s">
        <v>59</v>
      </c>
      <c r="G159" s="119">
        <v>2</v>
      </c>
      <c r="H159" s="66"/>
    </row>
    <row r="160" spans="2:8" ht="26.45" customHeight="1">
      <c r="B160" s="66"/>
      <c r="C160" s="117">
        <v>5</v>
      </c>
      <c r="D160" s="221" t="s">
        <v>332</v>
      </c>
      <c r="E160" s="222"/>
      <c r="F160" s="118" t="s">
        <v>59</v>
      </c>
      <c r="G160" s="119">
        <v>1</v>
      </c>
      <c r="H160" s="66"/>
    </row>
    <row r="161" spans="2:8">
      <c r="B161" s="66"/>
      <c r="C161" s="117">
        <v>6</v>
      </c>
      <c r="D161" s="81" t="s">
        <v>333</v>
      </c>
      <c r="E161" s="84"/>
      <c r="F161" s="118" t="s">
        <v>59</v>
      </c>
      <c r="G161" s="119">
        <v>0.2</v>
      </c>
      <c r="H161" s="66"/>
    </row>
    <row r="162" spans="2:8">
      <c r="B162" s="66"/>
      <c r="C162" s="117">
        <v>7</v>
      </c>
      <c r="D162" s="298" t="s">
        <v>560</v>
      </c>
      <c r="E162" s="299"/>
      <c r="F162" s="118" t="s">
        <v>66</v>
      </c>
      <c r="G162" s="119">
        <v>2</v>
      </c>
      <c r="H162" s="66"/>
    </row>
    <row r="163" spans="2:8">
      <c r="B163" s="66"/>
      <c r="C163" s="117">
        <v>8</v>
      </c>
      <c r="D163" s="298" t="s">
        <v>334</v>
      </c>
      <c r="E163" s="299"/>
      <c r="F163" s="118" t="s">
        <v>66</v>
      </c>
      <c r="G163" s="119">
        <v>1</v>
      </c>
      <c r="H163" s="66"/>
    </row>
    <row r="164" spans="2:8">
      <c r="B164" s="66"/>
      <c r="C164" s="117">
        <v>9</v>
      </c>
      <c r="D164" s="298" t="s">
        <v>335</v>
      </c>
      <c r="E164" s="299"/>
      <c r="F164" s="118" t="s">
        <v>66</v>
      </c>
      <c r="G164" s="119">
        <v>0.5</v>
      </c>
      <c r="H164" s="66"/>
    </row>
    <row r="165" spans="2:8">
      <c r="B165" s="66"/>
      <c r="C165" s="66"/>
      <c r="D165" s="66"/>
      <c r="E165" s="66"/>
      <c r="F165" s="66"/>
      <c r="G165" s="66"/>
      <c r="H165" s="66"/>
    </row>
    <row r="166" spans="2:8">
      <c r="B166" s="66"/>
      <c r="C166" s="66"/>
      <c r="D166" s="66"/>
      <c r="E166" s="66"/>
      <c r="F166" s="66"/>
      <c r="G166" s="66"/>
      <c r="H166" s="66"/>
    </row>
    <row r="167" spans="2:8">
      <c r="B167" s="66" t="s">
        <v>340</v>
      </c>
      <c r="C167" s="66"/>
      <c r="D167" s="66"/>
      <c r="E167" s="66"/>
      <c r="F167" s="66"/>
      <c r="G167" s="66"/>
      <c r="H167" s="66"/>
    </row>
    <row r="168" spans="2:8">
      <c r="B168" s="66"/>
      <c r="C168" s="104" t="s">
        <v>10</v>
      </c>
      <c r="D168" s="287" t="s">
        <v>216</v>
      </c>
      <c r="E168" s="288"/>
      <c r="F168" s="294" t="s">
        <v>248</v>
      </c>
      <c r="G168" s="300"/>
      <c r="H168" s="66"/>
    </row>
    <row r="169" spans="2:8" ht="50.25" customHeight="1">
      <c r="B169" s="66"/>
      <c r="C169" s="233" t="s">
        <v>26</v>
      </c>
      <c r="D169" s="242" t="s">
        <v>343</v>
      </c>
      <c r="E169" s="243"/>
      <c r="F169" s="231">
        <v>2</v>
      </c>
      <c r="G169" s="232"/>
      <c r="H169" s="66"/>
    </row>
    <row r="170" spans="2:8">
      <c r="B170" s="66"/>
      <c r="C170" s="234"/>
      <c r="D170" s="214" t="s">
        <v>344</v>
      </c>
      <c r="E170" s="215"/>
      <c r="F170" s="227">
        <v>1</v>
      </c>
      <c r="G170" s="228"/>
      <c r="H170" s="66"/>
    </row>
    <row r="171" spans="2:8">
      <c r="B171" s="66"/>
      <c r="C171" s="117" t="s">
        <v>27</v>
      </c>
      <c r="D171" s="237" t="s">
        <v>336</v>
      </c>
      <c r="E171" s="238"/>
      <c r="F171" s="301">
        <v>1</v>
      </c>
      <c r="G171" s="302"/>
      <c r="H171" s="66"/>
    </row>
    <row r="172" spans="2:8">
      <c r="B172" s="66"/>
      <c r="C172" s="233" t="s">
        <v>28</v>
      </c>
      <c r="D172" s="242" t="s">
        <v>346</v>
      </c>
      <c r="E172" s="243"/>
      <c r="F172" s="231">
        <v>5</v>
      </c>
      <c r="G172" s="232"/>
      <c r="H172" s="66"/>
    </row>
    <row r="173" spans="2:8" ht="26.45" customHeight="1">
      <c r="B173" s="66"/>
      <c r="C173" s="234"/>
      <c r="D173" s="235" t="s">
        <v>345</v>
      </c>
      <c r="E173" s="236"/>
      <c r="F173" s="227">
        <v>2</v>
      </c>
      <c r="G173" s="228"/>
      <c r="H173" s="66"/>
    </row>
    <row r="174" spans="2:8">
      <c r="B174" s="66"/>
      <c r="C174" s="117" t="s">
        <v>29</v>
      </c>
      <c r="D174" s="237" t="s">
        <v>338</v>
      </c>
      <c r="E174" s="238"/>
      <c r="F174" s="308" t="s">
        <v>347</v>
      </c>
      <c r="G174" s="309"/>
      <c r="H174" s="66"/>
    </row>
    <row r="175" spans="2:8" ht="27" customHeight="1">
      <c r="B175" s="66"/>
      <c r="C175" s="233" t="s">
        <v>30</v>
      </c>
      <c r="D175" s="286" t="s">
        <v>349</v>
      </c>
      <c r="E175" s="286"/>
      <c r="F175" s="241">
        <v>5</v>
      </c>
      <c r="G175" s="241"/>
      <c r="H175" s="66"/>
    </row>
    <row r="176" spans="2:8">
      <c r="B176" s="66"/>
      <c r="C176" s="234"/>
      <c r="D176" s="239" t="s">
        <v>348</v>
      </c>
      <c r="E176" s="239"/>
      <c r="F176" s="240">
        <v>0.5</v>
      </c>
      <c r="G176" s="240"/>
      <c r="H176" s="66"/>
    </row>
    <row r="177" spans="2:8">
      <c r="B177" s="66"/>
      <c r="C177" s="218" t="s">
        <v>31</v>
      </c>
      <c r="D177" s="237" t="s">
        <v>339</v>
      </c>
      <c r="E177" s="303"/>
      <c r="F177" s="303"/>
      <c r="G177" s="238"/>
      <c r="H177" s="66"/>
    </row>
    <row r="178" spans="2:8">
      <c r="B178" s="66"/>
      <c r="C178" s="219"/>
      <c r="D178" s="286" t="s">
        <v>351</v>
      </c>
      <c r="E178" s="286"/>
      <c r="F178" s="304" t="s">
        <v>353</v>
      </c>
      <c r="G178" s="304"/>
      <c r="H178" s="66"/>
    </row>
    <row r="179" spans="2:8">
      <c r="B179" s="66"/>
      <c r="C179" s="219"/>
      <c r="D179" s="246" t="s">
        <v>354</v>
      </c>
      <c r="E179" s="246"/>
      <c r="F179" s="247">
        <v>1.5</v>
      </c>
      <c r="G179" s="247"/>
      <c r="H179" s="66"/>
    </row>
    <row r="180" spans="2:8">
      <c r="B180" s="66"/>
      <c r="C180" s="219"/>
      <c r="D180" s="246" t="s">
        <v>350</v>
      </c>
      <c r="E180" s="246"/>
      <c r="F180" s="247">
        <v>1.5</v>
      </c>
      <c r="G180" s="247"/>
      <c r="H180" s="66"/>
    </row>
    <row r="181" spans="2:8">
      <c r="B181" s="66"/>
      <c r="C181" s="219"/>
      <c r="D181" s="246" t="s">
        <v>348</v>
      </c>
      <c r="E181" s="246"/>
      <c r="F181" s="247">
        <v>1.2</v>
      </c>
      <c r="G181" s="247"/>
      <c r="H181" s="66"/>
    </row>
    <row r="182" spans="2:8">
      <c r="B182" s="66"/>
      <c r="C182" s="219"/>
      <c r="D182" s="307" t="s">
        <v>352</v>
      </c>
      <c r="E182" s="307"/>
      <c r="F182" s="240">
        <v>0.5</v>
      </c>
      <c r="G182" s="240"/>
      <c r="H182" s="66"/>
    </row>
    <row r="183" spans="2:8">
      <c r="B183" s="66"/>
      <c r="C183" s="219"/>
      <c r="D183" s="242" t="s">
        <v>356</v>
      </c>
      <c r="E183" s="243"/>
      <c r="F183" s="231" t="s">
        <v>357</v>
      </c>
      <c r="G183" s="232"/>
      <c r="H183" s="66"/>
    </row>
    <row r="184" spans="2:8">
      <c r="B184" s="66"/>
      <c r="C184" s="219"/>
      <c r="D184" s="210" t="s">
        <v>354</v>
      </c>
      <c r="E184" s="211"/>
      <c r="F184" s="225">
        <v>1.5</v>
      </c>
      <c r="G184" s="226"/>
      <c r="H184" s="66"/>
    </row>
    <row r="185" spans="2:8">
      <c r="B185" s="66"/>
      <c r="C185" s="219"/>
      <c r="D185" s="210" t="s">
        <v>355</v>
      </c>
      <c r="E185" s="211"/>
      <c r="F185" s="225">
        <v>1.5</v>
      </c>
      <c r="G185" s="226"/>
      <c r="H185" s="66"/>
    </row>
    <row r="186" spans="2:8">
      <c r="B186" s="66"/>
      <c r="C186" s="219"/>
      <c r="D186" s="214" t="s">
        <v>348</v>
      </c>
      <c r="E186" s="215"/>
      <c r="F186" s="227">
        <v>1.2</v>
      </c>
      <c r="G186" s="228"/>
      <c r="H186" s="66"/>
    </row>
    <row r="187" spans="2:8">
      <c r="B187" s="66"/>
      <c r="C187" s="219"/>
      <c r="D187" s="242" t="s">
        <v>358</v>
      </c>
      <c r="E187" s="243"/>
      <c r="F187" s="231" t="s">
        <v>359</v>
      </c>
      <c r="G187" s="232"/>
      <c r="H187" s="66"/>
    </row>
    <row r="188" spans="2:8">
      <c r="B188" s="66"/>
      <c r="C188" s="219"/>
      <c r="D188" s="210" t="s">
        <v>354</v>
      </c>
      <c r="E188" s="211"/>
      <c r="F188" s="225">
        <v>1.5</v>
      </c>
      <c r="G188" s="226"/>
      <c r="H188" s="66"/>
    </row>
    <row r="189" spans="2:8">
      <c r="B189" s="66"/>
      <c r="C189" s="219"/>
      <c r="D189" s="210" t="s">
        <v>350</v>
      </c>
      <c r="E189" s="211"/>
      <c r="F189" s="225">
        <v>1.5</v>
      </c>
      <c r="G189" s="226"/>
      <c r="H189" s="66"/>
    </row>
    <row r="190" spans="2:8">
      <c r="B190" s="66"/>
      <c r="C190" s="219"/>
      <c r="D190" s="214" t="s">
        <v>348</v>
      </c>
      <c r="E190" s="215"/>
      <c r="F190" s="227">
        <v>1.2</v>
      </c>
      <c r="G190" s="228"/>
      <c r="H190" s="66"/>
    </row>
    <row r="191" spans="2:8">
      <c r="B191" s="66"/>
      <c r="C191" s="219"/>
      <c r="D191" s="237" t="s">
        <v>360</v>
      </c>
      <c r="E191" s="238"/>
      <c r="F191" s="244" t="s">
        <v>361</v>
      </c>
      <c r="G191" s="245"/>
      <c r="H191" s="66"/>
    </row>
    <row r="192" spans="2:8">
      <c r="B192" s="66"/>
      <c r="C192" s="219"/>
      <c r="D192" s="229" t="s">
        <v>354</v>
      </c>
      <c r="E192" s="230"/>
      <c r="F192" s="231">
        <v>1.5</v>
      </c>
      <c r="G192" s="232"/>
      <c r="H192" s="66"/>
    </row>
    <row r="193" spans="2:8">
      <c r="B193" s="66"/>
      <c r="C193" s="219"/>
      <c r="D193" s="210" t="s">
        <v>350</v>
      </c>
      <c r="E193" s="211"/>
      <c r="F193" s="225">
        <v>1.5</v>
      </c>
      <c r="G193" s="226"/>
      <c r="H193" s="66"/>
    </row>
    <row r="194" spans="2:8">
      <c r="B194" s="66"/>
      <c r="C194" s="220"/>
      <c r="D194" s="214" t="s">
        <v>348</v>
      </c>
      <c r="E194" s="215"/>
      <c r="F194" s="227">
        <v>1.2</v>
      </c>
      <c r="G194" s="228"/>
      <c r="H194" s="66"/>
    </row>
    <row r="195" spans="2:8">
      <c r="B195" s="66"/>
      <c r="C195" s="218" t="s">
        <v>32</v>
      </c>
      <c r="D195" s="242" t="s">
        <v>363</v>
      </c>
      <c r="E195" s="243"/>
      <c r="F195" s="242"/>
      <c r="G195" s="243"/>
      <c r="H195" s="66"/>
    </row>
    <row r="196" spans="2:8">
      <c r="B196" s="66"/>
      <c r="C196" s="219"/>
      <c r="D196" s="210" t="s">
        <v>550</v>
      </c>
      <c r="E196" s="211"/>
      <c r="F196" s="212" t="s">
        <v>551</v>
      </c>
      <c r="G196" s="213"/>
      <c r="H196" s="66"/>
    </row>
    <row r="197" spans="2:8">
      <c r="B197" s="66"/>
      <c r="C197" s="219"/>
      <c r="D197" s="210" t="s">
        <v>550</v>
      </c>
      <c r="E197" s="211"/>
      <c r="F197" s="212" t="s">
        <v>552</v>
      </c>
      <c r="G197" s="213"/>
      <c r="H197" s="66"/>
    </row>
    <row r="198" spans="2:8">
      <c r="B198" s="66"/>
      <c r="C198" s="219"/>
      <c r="D198" s="210" t="s">
        <v>362</v>
      </c>
      <c r="E198" s="211"/>
      <c r="F198" s="212" t="s">
        <v>553</v>
      </c>
      <c r="G198" s="213"/>
      <c r="H198" s="66"/>
    </row>
    <row r="199" spans="2:8">
      <c r="B199" s="66"/>
      <c r="C199" s="219"/>
      <c r="D199" s="210" t="s">
        <v>362</v>
      </c>
      <c r="E199" s="211"/>
      <c r="F199" s="212" t="s">
        <v>554</v>
      </c>
      <c r="G199" s="213"/>
      <c r="H199" s="66"/>
    </row>
    <row r="200" spans="2:8">
      <c r="B200" s="66"/>
      <c r="C200" s="220"/>
      <c r="D200" s="214"/>
      <c r="E200" s="215"/>
      <c r="F200" s="216"/>
      <c r="G200" s="217"/>
      <c r="H200" s="66"/>
    </row>
    <row r="201" spans="2:8" ht="31.5" customHeight="1">
      <c r="B201" s="66"/>
      <c r="C201" s="96" t="s">
        <v>33</v>
      </c>
      <c r="D201" s="237" t="s">
        <v>72</v>
      </c>
      <c r="E201" s="238"/>
      <c r="F201" s="237" t="s">
        <v>337</v>
      </c>
      <c r="G201" s="238"/>
      <c r="H201" s="66"/>
    </row>
    <row r="202" spans="2:8">
      <c r="B202" s="66"/>
      <c r="C202" s="66"/>
      <c r="D202" s="66"/>
      <c r="E202" s="66"/>
      <c r="F202" s="66"/>
      <c r="G202" s="66"/>
      <c r="H202" s="66"/>
    </row>
    <row r="203" spans="2:8">
      <c r="B203" s="66" t="s">
        <v>364</v>
      </c>
      <c r="C203" s="66"/>
      <c r="D203" s="66"/>
      <c r="E203" s="66"/>
      <c r="F203" s="66"/>
      <c r="G203" s="66"/>
      <c r="H203" s="66"/>
    </row>
    <row r="204" spans="2:8" ht="25.5">
      <c r="B204" s="66"/>
      <c r="C204" s="66"/>
      <c r="D204" s="98" t="s">
        <v>69</v>
      </c>
      <c r="E204" s="77" t="s">
        <v>79</v>
      </c>
      <c r="F204" s="77" t="s">
        <v>80</v>
      </c>
      <c r="G204" s="77" t="s">
        <v>81</v>
      </c>
      <c r="H204" s="66"/>
    </row>
    <row r="205" spans="2:8">
      <c r="B205" s="66"/>
      <c r="C205" s="66"/>
      <c r="D205" s="104" t="s">
        <v>73</v>
      </c>
      <c r="E205" s="98">
        <v>35</v>
      </c>
      <c r="F205" s="98">
        <v>24</v>
      </c>
      <c r="G205" s="98" t="s">
        <v>76</v>
      </c>
      <c r="H205" s="66"/>
    </row>
    <row r="206" spans="2:8">
      <c r="B206" s="66"/>
      <c r="C206" s="66"/>
      <c r="D206" s="104" t="s">
        <v>74</v>
      </c>
      <c r="E206" s="98">
        <v>35</v>
      </c>
      <c r="F206" s="98">
        <v>24</v>
      </c>
      <c r="G206" s="98" t="s">
        <v>76</v>
      </c>
      <c r="H206" s="66"/>
    </row>
    <row r="207" spans="2:8">
      <c r="B207" s="66"/>
      <c r="C207" s="66"/>
      <c r="D207" s="104" t="s">
        <v>75</v>
      </c>
      <c r="E207" s="98">
        <v>30</v>
      </c>
      <c r="F207" s="98">
        <v>18</v>
      </c>
      <c r="G207" s="98">
        <v>3</v>
      </c>
      <c r="H207" s="66"/>
    </row>
    <row r="208" spans="2:8">
      <c r="B208" s="66"/>
      <c r="C208" s="66"/>
      <c r="D208" s="104" t="s">
        <v>77</v>
      </c>
      <c r="E208" s="98">
        <v>28</v>
      </c>
      <c r="F208" s="98">
        <v>18</v>
      </c>
      <c r="G208" s="98">
        <v>3</v>
      </c>
      <c r="H208" s="66"/>
    </row>
    <row r="209" spans="2:8">
      <c r="B209" s="66"/>
      <c r="C209" s="66"/>
      <c r="D209" s="104" t="s">
        <v>78</v>
      </c>
      <c r="E209" s="98">
        <v>25</v>
      </c>
      <c r="F209" s="98">
        <v>18</v>
      </c>
      <c r="G209" s="98">
        <v>3</v>
      </c>
      <c r="H209" s="66"/>
    </row>
    <row r="210" spans="2:8" ht="51">
      <c r="B210" s="66"/>
      <c r="C210" s="66"/>
      <c r="D210" s="120" t="s">
        <v>555</v>
      </c>
      <c r="E210" s="98">
        <v>23</v>
      </c>
      <c r="F210" s="98">
        <v>12</v>
      </c>
      <c r="G210" s="98">
        <v>6</v>
      </c>
      <c r="H210" s="66"/>
    </row>
    <row r="211" spans="2:8">
      <c r="B211" s="66"/>
      <c r="C211" s="66"/>
      <c r="D211" s="66"/>
      <c r="E211" s="66"/>
      <c r="F211" s="66"/>
      <c r="G211" s="66"/>
      <c r="H211" s="66"/>
    </row>
    <row r="212" spans="2:8">
      <c r="B212" s="66"/>
      <c r="C212" s="66"/>
      <c r="D212" s="66" t="s">
        <v>169</v>
      </c>
      <c r="E212" s="66"/>
      <c r="F212" s="66"/>
      <c r="G212" s="66"/>
      <c r="H212" s="66"/>
    </row>
    <row r="213" spans="2:8" ht="38.25">
      <c r="B213" s="66"/>
      <c r="C213" s="66"/>
      <c r="D213" s="120" t="s">
        <v>142</v>
      </c>
      <c r="E213" s="98">
        <v>18</v>
      </c>
      <c r="F213" s="98">
        <v>12</v>
      </c>
      <c r="G213" s="98">
        <v>6</v>
      </c>
      <c r="H213" s="66"/>
    </row>
  </sheetData>
  <mergeCells count="199">
    <mergeCell ref="F181:G181"/>
    <mergeCell ref="D179:E179"/>
    <mergeCell ref="F179:G179"/>
    <mergeCell ref="C72:C73"/>
    <mergeCell ref="D73:E73"/>
    <mergeCell ref="D79:E79"/>
    <mergeCell ref="D80:E80"/>
    <mergeCell ref="C111:C115"/>
    <mergeCell ref="D112:D113"/>
    <mergeCell ref="D114:D115"/>
    <mergeCell ref="E128:F128"/>
    <mergeCell ref="C106:C107"/>
    <mergeCell ref="D106:E107"/>
    <mergeCell ref="F106:F107"/>
    <mergeCell ref="B91:H91"/>
    <mergeCell ref="D94:E94"/>
    <mergeCell ref="D111:G111"/>
    <mergeCell ref="C118:C120"/>
    <mergeCell ref="D116:G116"/>
    <mergeCell ref="D100:E100"/>
    <mergeCell ref="D101:E101"/>
    <mergeCell ref="D102:E102"/>
    <mergeCell ref="E135:F135"/>
    <mergeCell ref="E136:F136"/>
    <mergeCell ref="C59:C60"/>
    <mergeCell ref="D59:D60"/>
    <mergeCell ref="E59:E60"/>
    <mergeCell ref="D49:E50"/>
    <mergeCell ref="D182:E182"/>
    <mergeCell ref="F182:G182"/>
    <mergeCell ref="D184:E184"/>
    <mergeCell ref="D185:E185"/>
    <mergeCell ref="D186:E186"/>
    <mergeCell ref="F184:G184"/>
    <mergeCell ref="F185:G185"/>
    <mergeCell ref="C66:C67"/>
    <mergeCell ref="D65:G65"/>
    <mergeCell ref="D68:G68"/>
    <mergeCell ref="C69:C70"/>
    <mergeCell ref="D70:E70"/>
    <mergeCell ref="D162:E162"/>
    <mergeCell ref="D163:E163"/>
    <mergeCell ref="D172:E172"/>
    <mergeCell ref="F172:G172"/>
    <mergeCell ref="F174:G174"/>
    <mergeCell ref="B140:H140"/>
    <mergeCell ref="D143:E143"/>
    <mergeCell ref="D144:E144"/>
    <mergeCell ref="C23:C24"/>
    <mergeCell ref="D30:E30"/>
    <mergeCell ref="D32:E32"/>
    <mergeCell ref="D29:F29"/>
    <mergeCell ref="D27:E27"/>
    <mergeCell ref="C26:C28"/>
    <mergeCell ref="D23:E23"/>
    <mergeCell ref="D24:E24"/>
    <mergeCell ref="D47:E48"/>
    <mergeCell ref="D43:G43"/>
    <mergeCell ref="D46:G46"/>
    <mergeCell ref="C47:C48"/>
    <mergeCell ref="D44:E45"/>
    <mergeCell ref="F201:G201"/>
    <mergeCell ref="F168:G168"/>
    <mergeCell ref="D169:E169"/>
    <mergeCell ref="D171:E171"/>
    <mergeCell ref="D201:E201"/>
    <mergeCell ref="F171:G171"/>
    <mergeCell ref="E125:F125"/>
    <mergeCell ref="E126:F126"/>
    <mergeCell ref="E127:F127"/>
    <mergeCell ref="D145:E145"/>
    <mergeCell ref="D146:E146"/>
    <mergeCell ref="D147:E147"/>
    <mergeCell ref="D148:E148"/>
    <mergeCell ref="D149:E149"/>
    <mergeCell ref="D150:E150"/>
    <mergeCell ref="D151:E151"/>
    <mergeCell ref="D164:E164"/>
    <mergeCell ref="F195:G195"/>
    <mergeCell ref="D177:G177"/>
    <mergeCell ref="D178:E178"/>
    <mergeCell ref="D183:E183"/>
    <mergeCell ref="F178:G178"/>
    <mergeCell ref="E134:F134"/>
    <mergeCell ref="F188:G188"/>
    <mergeCell ref="D195:E195"/>
    <mergeCell ref="D175:E175"/>
    <mergeCell ref="D168:E168"/>
    <mergeCell ref="C8:C9"/>
    <mergeCell ref="C57:C58"/>
    <mergeCell ref="C135:C136"/>
    <mergeCell ref="D88:E88"/>
    <mergeCell ref="D89:E89"/>
    <mergeCell ref="D135:D136"/>
    <mergeCell ref="D84:E84"/>
    <mergeCell ref="E57:E58"/>
    <mergeCell ref="B83:H83"/>
    <mergeCell ref="E132:F132"/>
    <mergeCell ref="E133:F133"/>
    <mergeCell ref="D95:E95"/>
    <mergeCell ref="D96:E96"/>
    <mergeCell ref="D97:E97"/>
    <mergeCell ref="D98:E98"/>
    <mergeCell ref="D99:E99"/>
    <mergeCell ref="D8:E9"/>
    <mergeCell ref="D10:E10"/>
    <mergeCell ref="D159:E159"/>
    <mergeCell ref="D21:E21"/>
    <mergeCell ref="E137:F137"/>
    <mergeCell ref="A2:H2"/>
    <mergeCell ref="D57:D58"/>
    <mergeCell ref="D85:E85"/>
    <mergeCell ref="D86:E86"/>
    <mergeCell ref="D87:E87"/>
    <mergeCell ref="C55:C56"/>
    <mergeCell ref="D55:E56"/>
    <mergeCell ref="F55:F56"/>
    <mergeCell ref="D67:E67"/>
    <mergeCell ref="D74:E74"/>
    <mergeCell ref="D75:E75"/>
    <mergeCell ref="D76:E76"/>
    <mergeCell ref="D77:E77"/>
    <mergeCell ref="D78:E78"/>
    <mergeCell ref="C6:C7"/>
    <mergeCell ref="F6:F7"/>
    <mergeCell ref="D6:E7"/>
    <mergeCell ref="C13:C14"/>
    <mergeCell ref="D13:E14"/>
    <mergeCell ref="C49:C50"/>
    <mergeCell ref="F13:F14"/>
    <mergeCell ref="D19:E20"/>
    <mergeCell ref="C19:C21"/>
    <mergeCell ref="C30:C34"/>
    <mergeCell ref="D123:F123"/>
    <mergeCell ref="E124:F124"/>
    <mergeCell ref="E130:F130"/>
    <mergeCell ref="E131:F131"/>
    <mergeCell ref="E129:F129"/>
    <mergeCell ref="E22:G22"/>
    <mergeCell ref="D26:E26"/>
    <mergeCell ref="D33:E33"/>
    <mergeCell ref="D34:E34"/>
    <mergeCell ref="D40:E40"/>
    <mergeCell ref="D41:E41"/>
    <mergeCell ref="D42:E42"/>
    <mergeCell ref="D39:E39"/>
    <mergeCell ref="D31:G31"/>
    <mergeCell ref="D109:E109"/>
    <mergeCell ref="D110:E110"/>
    <mergeCell ref="D120:E120"/>
    <mergeCell ref="D71:G71"/>
    <mergeCell ref="F189:G189"/>
    <mergeCell ref="F190:G190"/>
    <mergeCell ref="D192:E192"/>
    <mergeCell ref="F192:G192"/>
    <mergeCell ref="C169:C170"/>
    <mergeCell ref="C172:C173"/>
    <mergeCell ref="F170:G170"/>
    <mergeCell ref="F173:G173"/>
    <mergeCell ref="D173:E173"/>
    <mergeCell ref="D174:E174"/>
    <mergeCell ref="D176:E176"/>
    <mergeCell ref="F176:G176"/>
    <mergeCell ref="C175:C176"/>
    <mergeCell ref="F169:G169"/>
    <mergeCell ref="F175:G175"/>
    <mergeCell ref="D170:E170"/>
    <mergeCell ref="F183:G183"/>
    <mergeCell ref="D187:E187"/>
    <mergeCell ref="F187:G187"/>
    <mergeCell ref="D191:E191"/>
    <mergeCell ref="F191:G191"/>
    <mergeCell ref="D180:E180"/>
    <mergeCell ref="D181:E181"/>
    <mergeCell ref="F180:G180"/>
    <mergeCell ref="D198:E198"/>
    <mergeCell ref="F198:G198"/>
    <mergeCell ref="D199:E199"/>
    <mergeCell ref="D200:E200"/>
    <mergeCell ref="F199:G199"/>
    <mergeCell ref="F200:G200"/>
    <mergeCell ref="C195:C200"/>
    <mergeCell ref="D156:E156"/>
    <mergeCell ref="D157:E157"/>
    <mergeCell ref="D158:E158"/>
    <mergeCell ref="D160:E160"/>
    <mergeCell ref="D193:E193"/>
    <mergeCell ref="F193:G193"/>
    <mergeCell ref="D194:E194"/>
    <mergeCell ref="F194:G194"/>
    <mergeCell ref="C177:C194"/>
    <mergeCell ref="D196:E196"/>
    <mergeCell ref="F196:G196"/>
    <mergeCell ref="D197:E197"/>
    <mergeCell ref="F197:G197"/>
    <mergeCell ref="F186:G186"/>
    <mergeCell ref="D188:E188"/>
    <mergeCell ref="D189:E189"/>
    <mergeCell ref="D190:E190"/>
  </mergeCells>
  <phoneticPr fontId="25" type="noConversion"/>
  <pageMargins left="0.19685039370078741" right="0.19685039370078741" top="0.39370078740157483" bottom="0.39370078740157483" header="0.31496062992125984" footer="0.31496062992125984"/>
  <pageSetup paperSize="9" scale="85" orientation="portrait" r:id="rId1"/>
  <headerFooter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DE06-1E74-4B05-9723-CC06E28072B0}">
  <sheetPr>
    <pageSetUpPr fitToPage="1"/>
  </sheetPr>
  <dimension ref="A1:BP209"/>
  <sheetViews>
    <sheetView tabSelected="1" zoomScale="140" zoomScaleNormal="140" workbookViewId="0">
      <selection activeCell="S5" sqref="S5"/>
    </sheetView>
  </sheetViews>
  <sheetFormatPr defaultColWidth="9.140625" defaultRowHeight="12.75"/>
  <cols>
    <col min="1" max="1" width="3" style="1" customWidth="1"/>
    <col min="2" max="2" width="1.7109375" style="1" customWidth="1"/>
    <col min="3" max="3" width="5" style="1" customWidth="1"/>
    <col min="4" max="4" width="9" style="1" customWidth="1"/>
    <col min="5" max="5" width="7.5703125" style="1" customWidth="1"/>
    <col min="6" max="6" width="15.28515625" style="1" customWidth="1"/>
    <col min="7" max="7" width="6.42578125" style="1" customWidth="1"/>
    <col min="8" max="8" width="8.28515625" style="1" customWidth="1"/>
    <col min="9" max="10" width="7.28515625" style="1" customWidth="1"/>
    <col min="11" max="11" width="7.140625" style="1" customWidth="1"/>
    <col min="12" max="12" width="8.42578125" style="1" customWidth="1"/>
    <col min="13" max="13" width="7.42578125" style="1" customWidth="1"/>
    <col min="14" max="14" width="7.140625" style="1" customWidth="1"/>
    <col min="15" max="15" width="7.7109375" style="1" customWidth="1"/>
    <col min="16" max="16" width="10.28515625" style="1" customWidth="1"/>
    <col min="17" max="17" width="11" style="1" customWidth="1"/>
    <col min="18" max="18" width="6.28515625" style="1" customWidth="1"/>
    <col min="19" max="19" width="7.5703125" style="1" customWidth="1"/>
    <col min="20" max="20" width="6.28515625" style="1" customWidth="1"/>
    <col min="21" max="21" width="7.28515625" style="1" customWidth="1"/>
    <col min="22" max="23" width="7.42578125" style="1" customWidth="1"/>
    <col min="24" max="24" width="7" style="1" customWidth="1"/>
    <col min="25" max="25" width="6.85546875" style="1" customWidth="1"/>
    <col min="26" max="41" width="6.7109375" style="1" customWidth="1"/>
    <col min="42" max="51" width="2.5703125" style="1" customWidth="1"/>
    <col min="52" max="55" width="9.140625" style="1" customWidth="1"/>
    <col min="56" max="56" width="1.7109375" style="1" customWidth="1"/>
    <col min="57" max="58" width="4.5703125" style="1" customWidth="1"/>
    <col min="59" max="60" width="5.140625" style="1" customWidth="1"/>
    <col min="61" max="62" width="6.5703125" style="1" customWidth="1"/>
    <col min="63" max="63" width="6.85546875" style="1" customWidth="1"/>
    <col min="64" max="67" width="9.140625" style="1" customWidth="1"/>
    <col min="68" max="16384" width="9.140625" style="1"/>
  </cols>
  <sheetData>
    <row r="1" spans="1:66">
      <c r="A1" s="518" t="s">
        <v>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</row>
    <row r="2" spans="1:66" ht="13.5" thickBot="1">
      <c r="A2" s="518" t="s">
        <v>1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66" ht="13.5" thickBot="1">
      <c r="A3" s="2"/>
      <c r="F3" s="49" t="s">
        <v>65</v>
      </c>
      <c r="G3" s="1" t="s">
        <v>2</v>
      </c>
      <c r="K3" s="49"/>
      <c r="L3" s="1" t="s">
        <v>3</v>
      </c>
      <c r="P3" s="1" t="s">
        <v>4</v>
      </c>
      <c r="R3" s="50"/>
    </row>
    <row r="5" spans="1:66">
      <c r="D5" s="7" t="s">
        <v>5</v>
      </c>
      <c r="I5" s="199" t="s">
        <v>562</v>
      </c>
      <c r="J5" s="197"/>
      <c r="K5" s="197"/>
      <c r="L5" s="197"/>
      <c r="M5" s="7"/>
      <c r="N5" s="7" t="s">
        <v>8</v>
      </c>
      <c r="O5" s="7"/>
      <c r="P5" s="7"/>
      <c r="Q5" s="7"/>
      <c r="R5" s="7"/>
      <c r="S5" s="197"/>
      <c r="T5" s="197"/>
      <c r="U5" s="197"/>
      <c r="V5" s="197"/>
    </row>
    <row r="6" spans="1:66">
      <c r="D6" s="7" t="s">
        <v>143</v>
      </c>
      <c r="I6" s="198"/>
      <c r="J6" s="198"/>
      <c r="K6" s="198"/>
      <c r="L6" s="198"/>
      <c r="M6" s="7"/>
      <c r="N6" s="7" t="s">
        <v>64</v>
      </c>
      <c r="O6" s="7"/>
      <c r="P6" s="7"/>
      <c r="Q6" s="7"/>
      <c r="R6" s="7"/>
      <c r="S6" s="198" t="s">
        <v>563</v>
      </c>
      <c r="T6" s="198"/>
      <c r="U6" s="198"/>
      <c r="V6" s="198"/>
    </row>
    <row r="7" spans="1:66">
      <c r="D7" s="7" t="s">
        <v>6</v>
      </c>
      <c r="I7" s="193"/>
      <c r="J7" s="193"/>
      <c r="K7" s="193"/>
      <c r="L7" s="193"/>
      <c r="N7" s="1" t="s">
        <v>63</v>
      </c>
      <c r="S7" s="193"/>
      <c r="T7" s="193"/>
      <c r="U7" s="193"/>
      <c r="V7" s="193"/>
    </row>
    <row r="8" spans="1:66">
      <c r="D8" s="7" t="s">
        <v>7</v>
      </c>
      <c r="I8" s="198"/>
      <c r="J8" s="198"/>
      <c r="K8" s="198"/>
      <c r="L8" s="198"/>
    </row>
    <row r="10" spans="1:66">
      <c r="A10" s="3" t="s">
        <v>9</v>
      </c>
    </row>
    <row r="11" spans="1:66">
      <c r="B11" s="4" t="s">
        <v>201</v>
      </c>
    </row>
    <row r="12" spans="1:66" ht="14.25" customHeight="1">
      <c r="C12" s="318" t="s">
        <v>10</v>
      </c>
      <c r="D12" s="325" t="s">
        <v>171</v>
      </c>
      <c r="E12" s="326"/>
      <c r="F12" s="326"/>
      <c r="G12" s="326"/>
      <c r="H12" s="326"/>
      <c r="I12" s="326"/>
      <c r="J12" s="326"/>
      <c r="K12" s="326"/>
      <c r="L12" s="326"/>
      <c r="M12" s="327"/>
      <c r="N12" s="519" t="s">
        <v>441</v>
      </c>
      <c r="O12" s="520"/>
      <c r="P12" s="523" t="s">
        <v>181</v>
      </c>
    </row>
    <row r="13" spans="1:66" ht="76.5" customHeight="1">
      <c r="C13" s="318"/>
      <c r="D13" s="513" t="s">
        <v>433</v>
      </c>
      <c r="E13" s="318" t="s">
        <v>11</v>
      </c>
      <c r="F13" s="318" t="s">
        <v>13</v>
      </c>
      <c r="G13" s="318" t="s">
        <v>12</v>
      </c>
      <c r="H13" s="43" t="s">
        <v>183</v>
      </c>
      <c r="I13" s="172" t="s">
        <v>182</v>
      </c>
      <c r="J13" s="173" t="s">
        <v>438</v>
      </c>
      <c r="K13" s="512" t="s">
        <v>381</v>
      </c>
      <c r="L13" s="512"/>
      <c r="M13" s="525" t="s">
        <v>15</v>
      </c>
      <c r="N13" s="521"/>
      <c r="O13" s="522"/>
      <c r="P13" s="524"/>
      <c r="BC13" s="133" t="s">
        <v>183</v>
      </c>
      <c r="BE13" s="1" t="s">
        <v>446</v>
      </c>
      <c r="BG13" s="1" t="s">
        <v>447</v>
      </c>
      <c r="BI13" s="1" t="s">
        <v>448</v>
      </c>
      <c r="BL13" s="1" t="s">
        <v>446</v>
      </c>
      <c r="BM13" s="1" t="s">
        <v>447</v>
      </c>
      <c r="BN13" s="1" t="s">
        <v>448</v>
      </c>
    </row>
    <row r="14" spans="1:66">
      <c r="C14" s="318"/>
      <c r="D14" s="513"/>
      <c r="E14" s="318"/>
      <c r="F14" s="318"/>
      <c r="G14" s="318"/>
      <c r="H14" s="36" t="s">
        <v>437</v>
      </c>
      <c r="I14" s="148" t="s">
        <v>200</v>
      </c>
      <c r="J14" s="148" t="s">
        <v>439</v>
      </c>
      <c r="K14" s="36" t="s">
        <v>46</v>
      </c>
      <c r="L14" s="36" t="s">
        <v>440</v>
      </c>
      <c r="M14" s="526"/>
      <c r="N14" s="142" t="s">
        <v>46</v>
      </c>
      <c r="O14" s="142" t="s">
        <v>440</v>
      </c>
      <c r="P14" s="143"/>
      <c r="BC14" s="36"/>
      <c r="BE14" s="1" t="s">
        <v>342</v>
      </c>
      <c r="BF14" s="1" t="s">
        <v>341</v>
      </c>
      <c r="BG14" s="1" t="s">
        <v>342</v>
      </c>
      <c r="BH14" s="1" t="s">
        <v>341</v>
      </c>
      <c r="BI14" s="1" t="s">
        <v>342</v>
      </c>
      <c r="BK14" s="1" t="s">
        <v>341</v>
      </c>
    </row>
    <row r="15" spans="1:66">
      <c r="C15" s="12">
        <v>1</v>
      </c>
      <c r="D15" s="129" t="s">
        <v>435</v>
      </c>
      <c r="E15" s="5" t="s">
        <v>442</v>
      </c>
      <c r="F15" s="12" t="s">
        <v>443</v>
      </c>
      <c r="G15" s="5">
        <v>1</v>
      </c>
      <c r="H15" s="5" t="s">
        <v>444</v>
      </c>
      <c r="I15" s="129" t="s">
        <v>341</v>
      </c>
      <c r="J15" s="129" t="s">
        <v>445</v>
      </c>
      <c r="K15" s="12">
        <v>45</v>
      </c>
      <c r="L15" s="12"/>
      <c r="M15" s="12">
        <v>10</v>
      </c>
      <c r="N15" s="145">
        <f>IF(K15="",0,IF(AND(D15=$BE$27,I15=$BG$27),BE15,IF(AND(D15=$BE$27,I15=$BG$28),BF15,IF(AND(D15=$BE$28,I15=$BG$27),BG15,IF(AND(D15=$BE$28,I15=$BG$28),BH15,IF(AND(D15=$BE$29,I15=$BG$27),BI15,BJ15))))))</f>
        <v>10.5</v>
      </c>
      <c r="O15" s="145">
        <f>+IF(L15="",0,L15/15*1.5)</f>
        <v>0</v>
      </c>
      <c r="P15" s="144">
        <f>SUM(N15:O15)</f>
        <v>10.5</v>
      </c>
      <c r="BC15" s="5" t="str">
        <f t="shared" ref="BC15:BC25" si="0">+LEFT(H15,1)</f>
        <v>3</v>
      </c>
      <c r="BE15" s="1">
        <f>IF(M15&lt;=30,K15/15*2,((K15/15*2)+(M15-30)*(VLOOKUP(BC15,$BK$16:$BM$19,2,FALSE))))</f>
        <v>6</v>
      </c>
      <c r="BF15" s="1">
        <f>IF(M15&lt;=30,K15/15*2.5,((K15/15*2.5)+(M15-30)*(VLOOKUP(BC15,$BK$20:$BM$23,2,FALSE))))</f>
        <v>7.5</v>
      </c>
      <c r="BG15" s="1">
        <f>IF(M15&lt;=30,K15/15*3,((K15/15*3)+(M15-30)*(VLOOKUP(BC15,$BK$16:$BM$19,3,FALSE))))</f>
        <v>9</v>
      </c>
      <c r="BH15" s="1">
        <f>IF(M15&lt;=30,K15/15*3.5,((K15/15*3.5)+(M15-30)*(VLOOKUP(BC15,$BK$20:$BM$23,3,FALSE))))</f>
        <v>10.5</v>
      </c>
      <c r="BI15" s="1">
        <f>IF(M15&lt;=30,K15/15*4,((K15/15*4)+(M15-30)*(VLOOKUP(BC15,$BK$16:$BN$19,4,FALSE))))</f>
        <v>12</v>
      </c>
      <c r="BJ15" s="1">
        <f>IF(M15&lt;=30,K15/15*4.5,((K15/15*4.5)+(M15-30)*(VLOOKUP(BC15,$BK$20:$BN$23,4,FALSE))))</f>
        <v>13.5</v>
      </c>
    </row>
    <row r="16" spans="1:66">
      <c r="C16" s="12">
        <v>2</v>
      </c>
      <c r="D16" s="129" t="s">
        <v>434</v>
      </c>
      <c r="E16" s="5" t="s">
        <v>449</v>
      </c>
      <c r="F16" s="12" t="s">
        <v>443</v>
      </c>
      <c r="G16" s="5">
        <v>1</v>
      </c>
      <c r="H16" s="5" t="s">
        <v>444</v>
      </c>
      <c r="I16" s="129" t="s">
        <v>341</v>
      </c>
      <c r="J16" s="129" t="s">
        <v>445</v>
      </c>
      <c r="K16" s="12">
        <v>45</v>
      </c>
      <c r="L16" s="12"/>
      <c r="M16" s="12">
        <v>31</v>
      </c>
      <c r="N16" s="145">
        <f t="shared" ref="N16:N25" si="1">IF(K16="",0,IF(AND(D16=$BE$27,I16=$BG$27),BE16,IF(AND(D16=$BE$27,I16=$BG$28),BF16,IF(AND(D16=$BE$28,I16=$BG$27),BG16,IF(AND(D16=$BE$28,I16=$BG$28),BH16,IF(AND(D16=$BE$29,I16=$BG$27),BI16,BJ16))))))</f>
        <v>7.58</v>
      </c>
      <c r="O16" s="145">
        <f t="shared" ref="O16:O25" si="2">+IF(L16="",0,L16/15*1.5)</f>
        <v>0</v>
      </c>
      <c r="P16" s="144">
        <f t="shared" ref="P16:P25" si="3">SUM(N16:O16)</f>
        <v>7.58</v>
      </c>
      <c r="BC16" s="5" t="str">
        <f t="shared" si="0"/>
        <v>3</v>
      </c>
      <c r="BE16" s="1">
        <f t="shared" ref="BE16:BE24" si="4">IF(M16&lt;=30,K16/15*2,((K16/15*2)+(M16-30)*(VLOOKUP(BC16,$BK$16:$BM$19,2,FALSE))))</f>
        <v>6.06</v>
      </c>
      <c r="BF16" s="1">
        <f t="shared" ref="BF16:BF24" si="5">IF(M16&lt;=30,K16/15*2.5,((K16/15*2.5)+(M16-30)*(VLOOKUP(BC16,$BK$20:$BM$23,2,FALSE))))</f>
        <v>7.58</v>
      </c>
      <c r="BG16" s="1">
        <f t="shared" ref="BG16:BG24" si="6">IF(M16&lt;=30,K16/15*3,((K16/15*3)+(M16-30)*(VLOOKUP(BC16,$BK$16:$BM$19,3,FALSE))))</f>
        <v>9.1</v>
      </c>
      <c r="BH16" s="1">
        <f t="shared" ref="BH16:BH24" si="7">IF(M16&lt;=30,K16/15*3.5,((K16/15*3.5)+(M16-30)*(VLOOKUP(BC16,$BK$20:$BM$23,3,FALSE))))</f>
        <v>10.62</v>
      </c>
      <c r="BI16" s="1">
        <f t="shared" ref="BI16:BI24" si="8">IF(M16&lt;=30,K16/15*4,((K16/15*4)+(M16-30)*(VLOOKUP(BC16,$BK$16:$BN$19,4,FALSE))))</f>
        <v>12.13</v>
      </c>
      <c r="BJ16" s="1">
        <f t="shared" ref="BJ16:BJ24" si="9">IF(M16&lt;=30,K16/15*4.5,((K16/15*4.5)+(M16-30)*(VLOOKUP(BC16,$BK$20:$BN$23,4,FALSE))))</f>
        <v>13.62</v>
      </c>
      <c r="BK16" s="134" t="str">
        <f>+LEFT(BC27,1)</f>
        <v>1</v>
      </c>
      <c r="BL16" s="134">
        <v>0.02</v>
      </c>
      <c r="BM16" s="134">
        <v>0.03</v>
      </c>
      <c r="BN16" s="134">
        <v>0.04</v>
      </c>
    </row>
    <row r="17" spans="3:66">
      <c r="C17" s="12">
        <v>3</v>
      </c>
      <c r="D17" s="129" t="s">
        <v>435</v>
      </c>
      <c r="E17" s="5" t="s">
        <v>451</v>
      </c>
      <c r="F17" s="12" t="s">
        <v>443</v>
      </c>
      <c r="G17" s="5">
        <v>1</v>
      </c>
      <c r="H17" s="5" t="s">
        <v>444</v>
      </c>
      <c r="I17" s="129" t="s">
        <v>342</v>
      </c>
      <c r="J17" s="129" t="s">
        <v>453</v>
      </c>
      <c r="K17" s="12">
        <v>45</v>
      </c>
      <c r="L17" s="12"/>
      <c r="M17" s="12">
        <v>140</v>
      </c>
      <c r="N17" s="145">
        <f t="shared" si="1"/>
        <v>20</v>
      </c>
      <c r="O17" s="145">
        <f t="shared" si="2"/>
        <v>0</v>
      </c>
      <c r="P17" s="144">
        <f t="shared" si="3"/>
        <v>20</v>
      </c>
      <c r="BC17" s="5" t="str">
        <f t="shared" si="0"/>
        <v>3</v>
      </c>
      <c r="BE17" s="1">
        <f t="shared" si="4"/>
        <v>12.6</v>
      </c>
      <c r="BF17" s="1">
        <f t="shared" si="5"/>
        <v>16.3</v>
      </c>
      <c r="BG17" s="1">
        <f t="shared" si="6"/>
        <v>20</v>
      </c>
      <c r="BH17" s="1">
        <f t="shared" si="7"/>
        <v>23.7</v>
      </c>
      <c r="BI17" s="1">
        <f t="shared" si="8"/>
        <v>26.3</v>
      </c>
      <c r="BJ17" s="1">
        <f t="shared" si="9"/>
        <v>26.7</v>
      </c>
      <c r="BK17" s="134" t="str">
        <f t="shared" ref="BK17:BK19" si="10">+LEFT(BC28,1)</f>
        <v>2</v>
      </c>
      <c r="BL17" s="134">
        <v>0.04</v>
      </c>
      <c r="BM17" s="134">
        <v>7.0000000000000007E-2</v>
      </c>
      <c r="BN17" s="134">
        <v>0.09</v>
      </c>
    </row>
    <row r="18" spans="3:66">
      <c r="C18" s="12">
        <v>4</v>
      </c>
      <c r="D18" s="129" t="s">
        <v>436</v>
      </c>
      <c r="E18" s="5" t="s">
        <v>452</v>
      </c>
      <c r="F18" s="12" t="s">
        <v>443</v>
      </c>
      <c r="G18" s="5">
        <v>1</v>
      </c>
      <c r="H18" s="5" t="s">
        <v>444</v>
      </c>
      <c r="I18" s="129" t="s">
        <v>342</v>
      </c>
      <c r="J18" s="129" t="s">
        <v>445</v>
      </c>
      <c r="K18" s="12">
        <v>30</v>
      </c>
      <c r="L18" s="12">
        <v>30</v>
      </c>
      <c r="M18" s="12">
        <v>140</v>
      </c>
      <c r="N18" s="145">
        <f t="shared" si="1"/>
        <v>22.3</v>
      </c>
      <c r="O18" s="145">
        <f t="shared" si="2"/>
        <v>3</v>
      </c>
      <c r="P18" s="144">
        <f t="shared" si="3"/>
        <v>25.3</v>
      </c>
      <c r="BC18" s="5" t="str">
        <f t="shared" si="0"/>
        <v>3</v>
      </c>
      <c r="BE18" s="1">
        <f t="shared" si="4"/>
        <v>10.6</v>
      </c>
      <c r="BF18" s="1">
        <f t="shared" si="5"/>
        <v>13.8</v>
      </c>
      <c r="BG18" s="1">
        <f t="shared" si="6"/>
        <v>17</v>
      </c>
      <c r="BH18" s="1">
        <f t="shared" si="7"/>
        <v>20.2</v>
      </c>
      <c r="BI18" s="1">
        <f t="shared" si="8"/>
        <v>22.3</v>
      </c>
      <c r="BJ18" s="1">
        <f t="shared" si="9"/>
        <v>22.2</v>
      </c>
      <c r="BK18" s="134" t="str">
        <f t="shared" si="10"/>
        <v>3</v>
      </c>
      <c r="BL18" s="134">
        <v>0.06</v>
      </c>
      <c r="BM18" s="136">
        <v>0.1</v>
      </c>
      <c r="BN18" s="134">
        <v>0.13</v>
      </c>
    </row>
    <row r="19" spans="3:66">
      <c r="C19" s="12"/>
      <c r="D19" s="129" t="s">
        <v>434</v>
      </c>
      <c r="E19" s="5"/>
      <c r="F19" s="12"/>
      <c r="G19" s="5"/>
      <c r="H19" s="5" t="s">
        <v>444</v>
      </c>
      <c r="I19" s="129" t="s">
        <v>341</v>
      </c>
      <c r="J19" s="129" t="s">
        <v>445</v>
      </c>
      <c r="K19" s="12">
        <v>45</v>
      </c>
      <c r="L19" s="12"/>
      <c r="M19" s="12">
        <v>140</v>
      </c>
      <c r="N19" s="145">
        <f t="shared" si="1"/>
        <v>16.3</v>
      </c>
      <c r="O19" s="145">
        <f t="shared" si="2"/>
        <v>0</v>
      </c>
      <c r="P19" s="144">
        <f t="shared" si="3"/>
        <v>16.3</v>
      </c>
      <c r="BC19" s="5" t="str">
        <f t="shared" si="0"/>
        <v>3</v>
      </c>
      <c r="BE19" s="1">
        <f t="shared" si="4"/>
        <v>12.6</v>
      </c>
      <c r="BF19" s="1">
        <f t="shared" si="5"/>
        <v>16.3</v>
      </c>
      <c r="BG19" s="1">
        <f t="shared" si="6"/>
        <v>20</v>
      </c>
      <c r="BH19" s="1">
        <f t="shared" si="7"/>
        <v>23.7</v>
      </c>
      <c r="BI19" s="1">
        <f t="shared" si="8"/>
        <v>26.3</v>
      </c>
      <c r="BJ19" s="1">
        <f t="shared" si="9"/>
        <v>26.7</v>
      </c>
      <c r="BK19" s="134" t="str">
        <f t="shared" si="10"/>
        <v>4</v>
      </c>
      <c r="BL19" s="134">
        <v>0.08</v>
      </c>
      <c r="BM19" s="134">
        <v>0.13</v>
      </c>
      <c r="BN19" s="134">
        <v>0.17</v>
      </c>
    </row>
    <row r="20" spans="3:66">
      <c r="C20" s="12"/>
      <c r="D20" s="129" t="s">
        <v>434</v>
      </c>
      <c r="E20" s="5"/>
      <c r="F20" s="12"/>
      <c r="G20" s="5"/>
      <c r="H20" s="5" t="s">
        <v>444</v>
      </c>
      <c r="I20" s="129" t="s">
        <v>342</v>
      </c>
      <c r="J20" s="129" t="s">
        <v>445</v>
      </c>
      <c r="K20" s="12">
        <v>45</v>
      </c>
      <c r="L20" s="12"/>
      <c r="M20" s="12">
        <v>140</v>
      </c>
      <c r="N20" s="145">
        <f t="shared" si="1"/>
        <v>12.6</v>
      </c>
      <c r="O20" s="145">
        <f t="shared" si="2"/>
        <v>0</v>
      </c>
      <c r="P20" s="144">
        <f t="shared" si="3"/>
        <v>12.6</v>
      </c>
      <c r="BC20" s="5" t="str">
        <f t="shared" si="0"/>
        <v>3</v>
      </c>
      <c r="BE20" s="1">
        <f t="shared" si="4"/>
        <v>12.6</v>
      </c>
      <c r="BF20" s="1">
        <f t="shared" si="5"/>
        <v>16.3</v>
      </c>
      <c r="BG20" s="1">
        <f t="shared" si="6"/>
        <v>20</v>
      </c>
      <c r="BH20" s="1">
        <f t="shared" si="7"/>
        <v>23.7</v>
      </c>
      <c r="BI20" s="1">
        <f t="shared" si="8"/>
        <v>26.3</v>
      </c>
      <c r="BJ20" s="1">
        <f t="shared" si="9"/>
        <v>26.7</v>
      </c>
      <c r="BK20" s="134" t="str">
        <f>+LEFT($BC27,1)</f>
        <v>1</v>
      </c>
      <c r="BL20" s="135">
        <v>0.03</v>
      </c>
      <c r="BM20" s="135">
        <v>0.04</v>
      </c>
      <c r="BN20" s="135">
        <v>0.04</v>
      </c>
    </row>
    <row r="21" spans="3:66">
      <c r="C21" s="12"/>
      <c r="D21" s="129" t="s">
        <v>436</v>
      </c>
      <c r="E21" s="5"/>
      <c r="F21" s="12"/>
      <c r="G21" s="5"/>
      <c r="H21" s="5" t="s">
        <v>444</v>
      </c>
      <c r="I21" s="129" t="s">
        <v>342</v>
      </c>
      <c r="J21" s="129" t="s">
        <v>445</v>
      </c>
      <c r="K21" s="12">
        <v>45</v>
      </c>
      <c r="L21" s="12"/>
      <c r="M21" s="12">
        <v>140</v>
      </c>
      <c r="N21" s="145">
        <f t="shared" si="1"/>
        <v>26.3</v>
      </c>
      <c r="O21" s="145">
        <f t="shared" si="2"/>
        <v>0</v>
      </c>
      <c r="P21" s="144">
        <f t="shared" si="3"/>
        <v>26.3</v>
      </c>
      <c r="BC21" s="5" t="str">
        <f t="shared" si="0"/>
        <v>3</v>
      </c>
      <c r="BE21" s="1">
        <f t="shared" si="4"/>
        <v>12.6</v>
      </c>
      <c r="BF21" s="1">
        <f t="shared" si="5"/>
        <v>16.3</v>
      </c>
      <c r="BG21" s="1">
        <f t="shared" si="6"/>
        <v>20</v>
      </c>
      <c r="BH21" s="1">
        <f t="shared" si="7"/>
        <v>23.7</v>
      </c>
      <c r="BI21" s="1">
        <f t="shared" si="8"/>
        <v>26.3</v>
      </c>
      <c r="BJ21" s="1">
        <f t="shared" si="9"/>
        <v>26.7</v>
      </c>
      <c r="BK21" s="134" t="str">
        <f t="shared" ref="BK21:BK23" si="11">+LEFT($BC28,1)</f>
        <v>2</v>
      </c>
      <c r="BL21" s="135">
        <v>0.05</v>
      </c>
      <c r="BM21" s="135">
        <v>0.08</v>
      </c>
      <c r="BN21" s="135">
        <v>0.08</v>
      </c>
    </row>
    <row r="22" spans="3:66">
      <c r="C22" s="12"/>
      <c r="D22" s="129" t="s">
        <v>436</v>
      </c>
      <c r="E22" s="5"/>
      <c r="F22" s="12"/>
      <c r="G22" s="5"/>
      <c r="H22" s="5" t="s">
        <v>444</v>
      </c>
      <c r="I22" s="129" t="s">
        <v>342</v>
      </c>
      <c r="J22" s="129" t="s">
        <v>445</v>
      </c>
      <c r="K22" s="12">
        <v>45</v>
      </c>
      <c r="L22" s="12"/>
      <c r="M22" s="12">
        <v>140</v>
      </c>
      <c r="N22" s="145">
        <f t="shared" si="1"/>
        <v>26.3</v>
      </c>
      <c r="O22" s="145">
        <f t="shared" si="2"/>
        <v>0</v>
      </c>
      <c r="P22" s="144">
        <f t="shared" si="3"/>
        <v>26.3</v>
      </c>
      <c r="BC22" s="5" t="str">
        <f t="shared" si="0"/>
        <v>3</v>
      </c>
      <c r="BE22" s="1">
        <f t="shared" si="4"/>
        <v>12.6</v>
      </c>
      <c r="BF22" s="1">
        <f t="shared" si="5"/>
        <v>16.3</v>
      </c>
      <c r="BG22" s="1">
        <f t="shared" si="6"/>
        <v>20</v>
      </c>
      <c r="BH22" s="1">
        <f t="shared" si="7"/>
        <v>23.7</v>
      </c>
      <c r="BI22" s="1">
        <f t="shared" si="8"/>
        <v>26.3</v>
      </c>
      <c r="BJ22" s="1">
        <f t="shared" si="9"/>
        <v>26.7</v>
      </c>
      <c r="BK22" s="134" t="str">
        <f t="shared" si="11"/>
        <v>3</v>
      </c>
      <c r="BL22" s="135">
        <v>0.08</v>
      </c>
      <c r="BM22" s="135">
        <v>0.12</v>
      </c>
      <c r="BN22" s="135">
        <v>0.12</v>
      </c>
    </row>
    <row r="23" spans="3:66">
      <c r="C23" s="12"/>
      <c r="D23" s="129"/>
      <c r="E23" s="5"/>
      <c r="F23" s="12"/>
      <c r="G23" s="5"/>
      <c r="H23" s="5" t="s">
        <v>444</v>
      </c>
      <c r="I23" s="129"/>
      <c r="J23" s="129"/>
      <c r="K23" s="12"/>
      <c r="L23" s="12"/>
      <c r="M23" s="12"/>
      <c r="N23" s="145">
        <f t="shared" si="1"/>
        <v>0</v>
      </c>
      <c r="O23" s="145">
        <f t="shared" ref="O23:O24" si="12">+IF(L23="",0,L23/15*1.5)</f>
        <v>0</v>
      </c>
      <c r="P23" s="144">
        <f t="shared" ref="P23:P24" si="13">SUM(N23:O23)</f>
        <v>0</v>
      </c>
      <c r="BC23" s="5" t="str">
        <f t="shared" ref="BC23:BC24" si="14">+LEFT(H23,1)</f>
        <v>3</v>
      </c>
      <c r="BE23" s="1">
        <f t="shared" si="4"/>
        <v>0</v>
      </c>
      <c r="BF23" s="1">
        <f t="shared" si="5"/>
        <v>0</v>
      </c>
      <c r="BG23" s="1">
        <f t="shared" si="6"/>
        <v>0</v>
      </c>
      <c r="BH23" s="1">
        <f t="shared" si="7"/>
        <v>0</v>
      </c>
      <c r="BI23" s="1">
        <f t="shared" si="8"/>
        <v>0</v>
      </c>
      <c r="BJ23" s="1">
        <f t="shared" si="9"/>
        <v>0</v>
      </c>
      <c r="BK23" s="134" t="str">
        <f t="shared" si="11"/>
        <v>4</v>
      </c>
      <c r="BL23" s="135">
        <v>0.11</v>
      </c>
      <c r="BM23" s="135">
        <v>0.16</v>
      </c>
      <c r="BN23" s="135">
        <v>0.16</v>
      </c>
    </row>
    <row r="24" spans="3:66">
      <c r="C24" s="12"/>
      <c r="D24" s="129"/>
      <c r="E24" s="5"/>
      <c r="F24" s="12"/>
      <c r="G24" s="5"/>
      <c r="H24" s="5" t="s">
        <v>444</v>
      </c>
      <c r="I24" s="129"/>
      <c r="J24" s="129"/>
      <c r="K24" s="12"/>
      <c r="L24" s="12"/>
      <c r="M24" s="12"/>
      <c r="N24" s="145">
        <f t="shared" si="1"/>
        <v>0</v>
      </c>
      <c r="O24" s="145">
        <f t="shared" si="12"/>
        <v>0</v>
      </c>
      <c r="P24" s="144">
        <f t="shared" si="13"/>
        <v>0</v>
      </c>
      <c r="BC24" s="5" t="str">
        <f t="shared" si="14"/>
        <v>3</v>
      </c>
      <c r="BE24" s="1">
        <f t="shared" si="4"/>
        <v>0</v>
      </c>
      <c r="BF24" s="1">
        <f t="shared" si="5"/>
        <v>0</v>
      </c>
      <c r="BG24" s="1">
        <f t="shared" si="6"/>
        <v>0</v>
      </c>
      <c r="BH24" s="1">
        <f t="shared" si="7"/>
        <v>0</v>
      </c>
      <c r="BI24" s="1">
        <f t="shared" si="8"/>
        <v>0</v>
      </c>
      <c r="BJ24" s="1">
        <f t="shared" si="9"/>
        <v>0</v>
      </c>
      <c r="BK24" s="135"/>
      <c r="BL24" s="135"/>
      <c r="BM24" s="135"/>
      <c r="BN24" s="135"/>
    </row>
    <row r="25" spans="3:66">
      <c r="C25" s="12"/>
      <c r="D25" s="129"/>
      <c r="E25" s="5"/>
      <c r="F25" s="12"/>
      <c r="G25" s="5"/>
      <c r="H25" s="5"/>
      <c r="I25" s="147"/>
      <c r="J25" s="147"/>
      <c r="K25" s="12"/>
      <c r="L25" s="12"/>
      <c r="M25" s="12"/>
      <c r="N25" s="145">
        <f t="shared" si="1"/>
        <v>0</v>
      </c>
      <c r="O25" s="145">
        <f t="shared" si="2"/>
        <v>0</v>
      </c>
      <c r="P25" s="144">
        <f t="shared" si="3"/>
        <v>0</v>
      </c>
      <c r="BC25" s="5" t="str">
        <f t="shared" si="0"/>
        <v/>
      </c>
      <c r="BE25" s="1">
        <f t="shared" ref="BE25" si="15">IF(M25&lt;=30,K25/15*2,((K25/15*2)+(M25-30)*(VLOOKUP(BC25,$BK$16:$BM$19,2,FALSE))))</f>
        <v>0</v>
      </c>
      <c r="BF25" s="1">
        <f t="shared" ref="BF25" si="16">IF(M25&lt;=30,K25/15*2.5,((K25/15*2.5)+(M25-30)*(VLOOKUP(BC25,$BK$20:$BM$23,2,FALSE))))</f>
        <v>0</v>
      </c>
      <c r="BG25" s="1">
        <f t="shared" ref="BG25" si="17">IF(M25&lt;=30,K25/15*3,((K25/15*3)+(M25-30)*(VLOOKUP(BC25,$BK$16:$BM$19,3,FALSE))))</f>
        <v>0</v>
      </c>
      <c r="BH25" s="1">
        <f t="shared" ref="BH25" si="18">IF(M25&lt;=30,K25/15*3.5,((K25/15*3.5)+(M25-30)*(VLOOKUP(BC25,$BK$20:$BM$23,3,FALSE))))</f>
        <v>0</v>
      </c>
      <c r="BI25" s="1">
        <f t="shared" ref="BI25" si="19">IF(M25&lt;=30,K25/15*4,((K25/15*4)+(M25-30)*(VLOOKUP(BC25,$BK$16:$BN$19,4,FALSE))))</f>
        <v>0</v>
      </c>
      <c r="BJ25" s="1">
        <f t="shared" ref="BJ25" si="20">IF(M25&lt;=30,K25/15*4.5,((K25/15*4.5)+(M25-30)*(VLOOKUP(BC25,$BK$20:$BN$23,4,FALSE))))</f>
        <v>0</v>
      </c>
      <c r="BK25" s="135"/>
      <c r="BL25" s="135"/>
      <c r="BM25" s="135"/>
      <c r="BN25" s="137"/>
    </row>
    <row r="26" spans="3:66">
      <c r="C26" s="505" t="s">
        <v>16</v>
      </c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146">
        <f>SUM(P15:P25)</f>
        <v>144.88</v>
      </c>
      <c r="BK26" s="135"/>
      <c r="BL26" s="135"/>
      <c r="BM26" s="135"/>
      <c r="BN26" s="135"/>
    </row>
    <row r="27" spans="3:66">
      <c r="C27" s="12"/>
      <c r="D27" s="314" t="s">
        <v>494</v>
      </c>
      <c r="E27" s="314"/>
      <c r="F27" s="314"/>
      <c r="G27" s="314"/>
      <c r="H27" s="314"/>
      <c r="I27" s="314"/>
      <c r="J27" s="314"/>
      <c r="K27" s="131"/>
      <c r="L27" s="515" t="s">
        <v>378</v>
      </c>
      <c r="M27" s="516"/>
      <c r="N27" s="516"/>
      <c r="O27" s="517"/>
      <c r="P27" s="145">
        <f>+IF(K27="",0,1)</f>
        <v>0</v>
      </c>
      <c r="BC27" s="1" t="s">
        <v>454</v>
      </c>
      <c r="BE27" s="1" t="s">
        <v>434</v>
      </c>
      <c r="BG27" s="1" t="s">
        <v>342</v>
      </c>
      <c r="BK27" s="135"/>
      <c r="BL27" s="135"/>
      <c r="BM27" s="135"/>
      <c r="BN27" s="135"/>
    </row>
    <row r="28" spans="3:66">
      <c r="C28" s="12"/>
      <c r="D28" s="314" t="s">
        <v>495</v>
      </c>
      <c r="E28" s="314"/>
      <c r="F28" s="314"/>
      <c r="G28" s="314"/>
      <c r="H28" s="314"/>
      <c r="I28" s="314"/>
      <c r="J28" s="314"/>
      <c r="K28" s="131"/>
      <c r="L28" s="515" t="s">
        <v>379</v>
      </c>
      <c r="M28" s="516"/>
      <c r="N28" s="516"/>
      <c r="O28" s="517"/>
      <c r="P28" s="145">
        <f>+IF(K28="",0,2)</f>
        <v>0</v>
      </c>
      <c r="BC28" s="1" t="s">
        <v>455</v>
      </c>
      <c r="BE28" s="1" t="s">
        <v>435</v>
      </c>
      <c r="BG28" s="1" t="s">
        <v>341</v>
      </c>
    </row>
    <row r="29" spans="3:66">
      <c r="C29" s="12"/>
      <c r="D29" s="314" t="s">
        <v>496</v>
      </c>
      <c r="E29" s="314"/>
      <c r="F29" s="314"/>
      <c r="G29" s="314"/>
      <c r="H29" s="314"/>
      <c r="I29" s="314"/>
      <c r="J29" s="314"/>
      <c r="K29" s="131" t="s">
        <v>65</v>
      </c>
      <c r="L29" s="515" t="s">
        <v>380</v>
      </c>
      <c r="M29" s="516"/>
      <c r="N29" s="516"/>
      <c r="O29" s="517"/>
      <c r="P29" s="145">
        <f>+IF(K29="",0,3)</f>
        <v>3</v>
      </c>
      <c r="BC29" s="1" t="s">
        <v>444</v>
      </c>
      <c r="BE29" s="1" t="s">
        <v>436</v>
      </c>
    </row>
    <row r="30" spans="3:66">
      <c r="C30" s="505" t="s">
        <v>16</v>
      </c>
      <c r="D30" s="505"/>
      <c r="E30" s="505"/>
      <c r="F30" s="505"/>
      <c r="G30" s="505"/>
      <c r="H30" s="505"/>
      <c r="I30" s="505"/>
      <c r="J30" s="505"/>
      <c r="K30" s="505"/>
      <c r="L30" s="505"/>
      <c r="M30" s="505"/>
      <c r="N30" s="505"/>
      <c r="O30" s="505"/>
      <c r="P30" s="146">
        <f>SUM(P26:P29)</f>
        <v>147.88</v>
      </c>
      <c r="BC30" s="1" t="s">
        <v>456</v>
      </c>
    </row>
    <row r="31" spans="3:66" s="18" customFormat="1">
      <c r="C31" s="174" t="s">
        <v>497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39"/>
    </row>
    <row r="33" spans="2:58">
      <c r="B33" s="4" t="s">
        <v>427</v>
      </c>
    </row>
    <row r="34" spans="2:58" s="18" customFormat="1" ht="17.25" customHeight="1">
      <c r="C34" s="418" t="s">
        <v>10</v>
      </c>
      <c r="D34" s="421" t="s">
        <v>384</v>
      </c>
      <c r="E34" s="422"/>
      <c r="F34" s="422"/>
      <c r="G34" s="422"/>
      <c r="H34" s="422"/>
      <c r="I34" s="422"/>
      <c r="J34" s="422"/>
      <c r="K34" s="422"/>
      <c r="L34" s="422"/>
      <c r="M34" s="422"/>
      <c r="N34" s="423"/>
      <c r="O34" s="439" t="s">
        <v>382</v>
      </c>
      <c r="P34" s="440"/>
      <c r="Q34" s="440"/>
      <c r="R34" s="440"/>
      <c r="S34" s="514"/>
      <c r="T34" s="439" t="s">
        <v>202</v>
      </c>
      <c r="U34" s="440"/>
      <c r="V34" s="440"/>
      <c r="W34" s="514"/>
      <c r="X34" s="502" t="s">
        <v>181</v>
      </c>
      <c r="BC34" s="1"/>
    </row>
    <row r="35" spans="2:58" s="18" customFormat="1" ht="17.25" customHeight="1">
      <c r="C35" s="419"/>
      <c r="D35" s="427" t="s">
        <v>11</v>
      </c>
      <c r="E35" s="430" t="s">
        <v>383</v>
      </c>
      <c r="F35" s="431"/>
      <c r="G35" s="431"/>
      <c r="H35" s="431"/>
      <c r="I35" s="431"/>
      <c r="J35" s="432"/>
      <c r="K35" s="427" t="s">
        <v>12</v>
      </c>
      <c r="L35" s="427" t="s">
        <v>173</v>
      </c>
      <c r="M35" s="480" t="s">
        <v>14</v>
      </c>
      <c r="N35" s="482" t="s">
        <v>182</v>
      </c>
      <c r="O35" s="447" t="s">
        <v>381</v>
      </c>
      <c r="P35" s="448"/>
      <c r="Q35" s="484" t="s">
        <v>15</v>
      </c>
      <c r="R35" s="506" t="s">
        <v>206</v>
      </c>
      <c r="S35" s="507"/>
      <c r="T35" s="447" t="s">
        <v>381</v>
      </c>
      <c r="U35" s="448"/>
      <c r="V35" s="506" t="s">
        <v>206</v>
      </c>
      <c r="W35" s="507"/>
      <c r="X35" s="503"/>
    </row>
    <row r="36" spans="2:58" s="18" customFormat="1" ht="17.25" customHeight="1">
      <c r="C36" s="419"/>
      <c r="D36" s="428"/>
      <c r="E36" s="433"/>
      <c r="F36" s="434"/>
      <c r="G36" s="434"/>
      <c r="H36" s="434"/>
      <c r="I36" s="434"/>
      <c r="J36" s="435"/>
      <c r="K36" s="428"/>
      <c r="L36" s="428"/>
      <c r="M36" s="481"/>
      <c r="N36" s="483"/>
      <c r="O36" s="449"/>
      <c r="P36" s="450"/>
      <c r="Q36" s="485"/>
      <c r="R36" s="508"/>
      <c r="S36" s="509"/>
      <c r="T36" s="449"/>
      <c r="U36" s="450"/>
      <c r="V36" s="508"/>
      <c r="W36" s="509"/>
      <c r="X36" s="503"/>
    </row>
    <row r="37" spans="2:58" s="18" customFormat="1" ht="17.25" customHeight="1">
      <c r="C37" s="419"/>
      <c r="D37" s="428"/>
      <c r="E37" s="433"/>
      <c r="F37" s="434"/>
      <c r="G37" s="434"/>
      <c r="H37" s="434"/>
      <c r="I37" s="434"/>
      <c r="J37" s="435"/>
      <c r="K37" s="428"/>
      <c r="L37" s="428"/>
      <c r="M37" s="481"/>
      <c r="N37" s="483"/>
      <c r="O37" s="451"/>
      <c r="P37" s="452"/>
      <c r="Q37" s="485"/>
      <c r="R37" s="510"/>
      <c r="S37" s="511"/>
      <c r="T37" s="451"/>
      <c r="U37" s="452"/>
      <c r="V37" s="510"/>
      <c r="W37" s="511"/>
      <c r="X37" s="503"/>
    </row>
    <row r="38" spans="2:58" s="18" customFormat="1" ht="17.25" customHeight="1">
      <c r="C38" s="420"/>
      <c r="D38" s="429"/>
      <c r="E38" s="436"/>
      <c r="F38" s="437"/>
      <c r="G38" s="437"/>
      <c r="H38" s="437"/>
      <c r="I38" s="437"/>
      <c r="J38" s="438"/>
      <c r="K38" s="429"/>
      <c r="L38" s="22" t="s">
        <v>174</v>
      </c>
      <c r="M38" s="148" t="s">
        <v>439</v>
      </c>
      <c r="N38" s="149" t="s">
        <v>200</v>
      </c>
      <c r="O38" s="51" t="s">
        <v>46</v>
      </c>
      <c r="P38" s="52" t="s">
        <v>47</v>
      </c>
      <c r="Q38" s="486"/>
      <c r="R38" s="44" t="s">
        <v>46</v>
      </c>
      <c r="S38" s="44" t="s">
        <v>47</v>
      </c>
      <c r="T38" s="51" t="s">
        <v>46</v>
      </c>
      <c r="U38" s="52" t="s">
        <v>47</v>
      </c>
      <c r="V38" s="44" t="s">
        <v>46</v>
      </c>
      <c r="W38" s="44" t="s">
        <v>47</v>
      </c>
      <c r="X38" s="504"/>
    </row>
    <row r="39" spans="2:58" s="18" customFormat="1" ht="15" customHeight="1">
      <c r="C39" s="28">
        <v>1</v>
      </c>
      <c r="D39" s="28"/>
      <c r="E39" s="477" t="s">
        <v>460</v>
      </c>
      <c r="F39" s="478"/>
      <c r="G39" s="478"/>
      <c r="H39" s="478"/>
      <c r="I39" s="478"/>
      <c r="J39" s="479"/>
      <c r="K39" s="29"/>
      <c r="L39" s="29"/>
      <c r="M39" s="129" t="s">
        <v>445</v>
      </c>
      <c r="N39" s="150" t="s">
        <v>342</v>
      </c>
      <c r="O39" s="30"/>
      <c r="P39" s="29"/>
      <c r="Q39" s="28"/>
      <c r="R39" s="31">
        <f>+IF(O39="",0,BE39)</f>
        <v>0</v>
      </c>
      <c r="S39" s="32">
        <f>+P39/15*1.5</f>
        <v>0</v>
      </c>
      <c r="T39" s="30">
        <v>1</v>
      </c>
      <c r="U39" s="29">
        <v>1</v>
      </c>
      <c r="V39" s="33">
        <f>T39*0.15</f>
        <v>0.15</v>
      </c>
      <c r="W39" s="33">
        <f>U39*0.1</f>
        <v>0.1</v>
      </c>
      <c r="X39" s="33">
        <f>R39+S39+V39+W39</f>
        <v>0.25</v>
      </c>
      <c r="BC39" s="5" t="str">
        <f>+LEFT(L39,1)</f>
        <v/>
      </c>
      <c r="BD39" s="1"/>
      <c r="BE39" s="1">
        <f>+IF(N39="ไม่มี",IF(Q39&lt;=30,O39/15*2,((O39/15*2)+(Q39-30)*(VLOOKUP(BC39,$BK$16:$BM$19,2,FALSE)))),IF(Q39&gt;30,O39/15*2.5,((O39/15*2.5)+(Q39-30)*(VLOOKUP(BC39,$BK$20:$BM$27,2,FALSE)))))</f>
        <v>0</v>
      </c>
      <c r="BF39" s="1"/>
    </row>
    <row r="40" spans="2:58" s="18" customFormat="1">
      <c r="C40" s="28">
        <v>2</v>
      </c>
      <c r="D40" s="28" t="s">
        <v>457</v>
      </c>
      <c r="E40" s="477" t="s">
        <v>459</v>
      </c>
      <c r="F40" s="478"/>
      <c r="G40" s="478"/>
      <c r="H40" s="478"/>
      <c r="I40" s="478"/>
      <c r="J40" s="479"/>
      <c r="K40" s="29">
        <v>2</v>
      </c>
      <c r="L40" s="29" t="s">
        <v>180</v>
      </c>
      <c r="M40" s="129" t="s">
        <v>445</v>
      </c>
      <c r="N40" s="150" t="s">
        <v>342</v>
      </c>
      <c r="O40" s="30">
        <v>30</v>
      </c>
      <c r="P40" s="29">
        <v>30</v>
      </c>
      <c r="Q40" s="28">
        <v>140</v>
      </c>
      <c r="R40" s="31">
        <f>+IF(O40="",0,BE40)</f>
        <v>10.6</v>
      </c>
      <c r="S40" s="32">
        <f t="shared" ref="S40" si="21">+P40/15*1.5</f>
        <v>3</v>
      </c>
      <c r="T40" s="30"/>
      <c r="U40" s="29"/>
      <c r="V40" s="33">
        <f t="shared" ref="V40:V45" si="22">T40*0.15</f>
        <v>0</v>
      </c>
      <c r="W40" s="33">
        <f t="shared" ref="W40:W45" si="23">U40*0.1</f>
        <v>0</v>
      </c>
      <c r="X40" s="33">
        <f t="shared" ref="X40:X45" si="24">R40+S40+V40+W40</f>
        <v>13.6</v>
      </c>
      <c r="BC40" s="5" t="str">
        <f t="shared" ref="BC40:BC45" si="25">+LEFT(L40,1)</f>
        <v>3</v>
      </c>
      <c r="BE40" s="1">
        <f>IF(Q40&lt;=30,O40/15*2,((O40/15*2)+(Q40-30)*(VLOOKUP(BC40,$BK$16:$BL$19,2,FALSE))))</f>
        <v>10.6</v>
      </c>
      <c r="BF40" s="1"/>
    </row>
    <row r="41" spans="2:58" s="18" customFormat="1">
      <c r="C41" s="28">
        <v>3</v>
      </c>
      <c r="D41" s="28" t="s">
        <v>458</v>
      </c>
      <c r="E41" s="477" t="s">
        <v>459</v>
      </c>
      <c r="F41" s="478"/>
      <c r="G41" s="478"/>
      <c r="H41" s="478"/>
      <c r="I41" s="478"/>
      <c r="J41" s="479"/>
      <c r="K41" s="29">
        <v>1</v>
      </c>
      <c r="L41" s="29" t="s">
        <v>179</v>
      </c>
      <c r="M41" s="129" t="s">
        <v>445</v>
      </c>
      <c r="N41" s="150" t="s">
        <v>342</v>
      </c>
      <c r="O41" s="30">
        <v>45</v>
      </c>
      <c r="P41" s="29"/>
      <c r="Q41" s="28">
        <v>140</v>
      </c>
      <c r="R41" s="31">
        <f t="shared" ref="R41:R45" si="26">+IF(O41="",0,BE41)</f>
        <v>12.6</v>
      </c>
      <c r="S41" s="32">
        <f t="shared" ref="S41:S45" si="27">+P41/15*1.5</f>
        <v>0</v>
      </c>
      <c r="T41" s="30"/>
      <c r="U41" s="29"/>
      <c r="V41" s="33">
        <f t="shared" si="22"/>
        <v>0</v>
      </c>
      <c r="W41" s="33">
        <f t="shared" si="23"/>
        <v>0</v>
      </c>
      <c r="X41" s="33">
        <f t="shared" si="24"/>
        <v>12.6</v>
      </c>
      <c r="BC41" s="5" t="str">
        <f t="shared" si="25"/>
        <v>3</v>
      </c>
      <c r="BE41" s="1">
        <f t="shared" ref="BE41:BE45" si="28">IF(Q41&lt;=30,O41/15*2,((O41/15*2)+(Q41-30)*(VLOOKUP(BC41,$BK$16:$BL$19,2,FALSE))))</f>
        <v>12.6</v>
      </c>
      <c r="BF41" s="1"/>
    </row>
    <row r="42" spans="2:58" s="18" customFormat="1">
      <c r="C42" s="28">
        <v>4</v>
      </c>
      <c r="D42" s="28"/>
      <c r="E42" s="477"/>
      <c r="F42" s="478"/>
      <c r="G42" s="478"/>
      <c r="H42" s="478"/>
      <c r="I42" s="478"/>
      <c r="J42" s="479"/>
      <c r="K42" s="29"/>
      <c r="L42" s="29"/>
      <c r="M42" s="131"/>
      <c r="N42" s="150"/>
      <c r="O42" s="30"/>
      <c r="P42" s="29"/>
      <c r="Q42" s="28"/>
      <c r="R42" s="31">
        <f t="shared" si="26"/>
        <v>0</v>
      </c>
      <c r="S42" s="32">
        <f t="shared" si="27"/>
        <v>0</v>
      </c>
      <c r="T42" s="30"/>
      <c r="U42" s="29"/>
      <c r="V42" s="33">
        <f t="shared" si="22"/>
        <v>0</v>
      </c>
      <c r="W42" s="33">
        <f t="shared" si="23"/>
        <v>0</v>
      </c>
      <c r="X42" s="33">
        <f t="shared" si="24"/>
        <v>0</v>
      </c>
      <c r="BC42" s="5" t="str">
        <f t="shared" si="25"/>
        <v/>
      </c>
      <c r="BE42" s="1">
        <f t="shared" si="28"/>
        <v>0</v>
      </c>
      <c r="BF42" s="1"/>
    </row>
    <row r="43" spans="2:58" s="18" customFormat="1">
      <c r="C43" s="28">
        <v>5</v>
      </c>
      <c r="D43" s="28"/>
      <c r="E43" s="477"/>
      <c r="F43" s="478"/>
      <c r="G43" s="478"/>
      <c r="H43" s="478"/>
      <c r="I43" s="478"/>
      <c r="J43" s="479"/>
      <c r="K43" s="29"/>
      <c r="L43" s="29"/>
      <c r="M43" s="131"/>
      <c r="N43" s="150"/>
      <c r="O43" s="30"/>
      <c r="P43" s="29"/>
      <c r="Q43" s="28"/>
      <c r="R43" s="31">
        <f t="shared" si="26"/>
        <v>0</v>
      </c>
      <c r="S43" s="32">
        <f t="shared" si="27"/>
        <v>0</v>
      </c>
      <c r="T43" s="30"/>
      <c r="U43" s="29"/>
      <c r="V43" s="33">
        <f t="shared" si="22"/>
        <v>0</v>
      </c>
      <c r="W43" s="33">
        <f t="shared" si="23"/>
        <v>0</v>
      </c>
      <c r="X43" s="33">
        <f t="shared" si="24"/>
        <v>0</v>
      </c>
      <c r="BC43" s="5" t="str">
        <f t="shared" si="25"/>
        <v/>
      </c>
      <c r="BE43" s="1">
        <f t="shared" si="28"/>
        <v>0</v>
      </c>
      <c r="BF43" s="1"/>
    </row>
    <row r="44" spans="2:58" s="18" customFormat="1">
      <c r="C44" s="28">
        <v>6</v>
      </c>
      <c r="D44" s="28"/>
      <c r="E44" s="477"/>
      <c r="F44" s="478"/>
      <c r="G44" s="478"/>
      <c r="H44" s="478"/>
      <c r="I44" s="478"/>
      <c r="J44" s="479"/>
      <c r="K44" s="29"/>
      <c r="L44" s="29"/>
      <c r="M44" s="131"/>
      <c r="N44" s="150"/>
      <c r="O44" s="30"/>
      <c r="P44" s="29"/>
      <c r="Q44" s="28"/>
      <c r="R44" s="31">
        <f t="shared" si="26"/>
        <v>0</v>
      </c>
      <c r="S44" s="32">
        <f t="shared" si="27"/>
        <v>0</v>
      </c>
      <c r="T44" s="30"/>
      <c r="U44" s="29"/>
      <c r="V44" s="33">
        <f t="shared" si="22"/>
        <v>0</v>
      </c>
      <c r="W44" s="33">
        <f t="shared" si="23"/>
        <v>0</v>
      </c>
      <c r="X44" s="33">
        <f t="shared" si="24"/>
        <v>0</v>
      </c>
      <c r="BC44" s="5" t="str">
        <f t="shared" si="25"/>
        <v/>
      </c>
      <c r="BE44" s="1">
        <f t="shared" si="28"/>
        <v>0</v>
      </c>
      <c r="BF44" s="1"/>
    </row>
    <row r="45" spans="2:58" s="18" customFormat="1">
      <c r="C45" s="28">
        <v>7</v>
      </c>
      <c r="D45" s="25"/>
      <c r="E45" s="477"/>
      <c r="F45" s="478"/>
      <c r="G45" s="478"/>
      <c r="H45" s="478"/>
      <c r="I45" s="478"/>
      <c r="J45" s="479"/>
      <c r="K45" s="29"/>
      <c r="L45" s="26"/>
      <c r="M45" s="131"/>
      <c r="N45" s="151"/>
      <c r="O45" s="27"/>
      <c r="P45" s="26"/>
      <c r="Q45" s="25"/>
      <c r="R45" s="31">
        <f t="shared" si="26"/>
        <v>0</v>
      </c>
      <c r="S45" s="32">
        <f t="shared" si="27"/>
        <v>0</v>
      </c>
      <c r="T45" s="27"/>
      <c r="U45" s="26"/>
      <c r="V45" s="33">
        <f t="shared" si="22"/>
        <v>0</v>
      </c>
      <c r="W45" s="33">
        <f t="shared" si="23"/>
        <v>0</v>
      </c>
      <c r="X45" s="33">
        <f t="shared" si="24"/>
        <v>0</v>
      </c>
      <c r="BC45" s="5" t="str">
        <f t="shared" si="25"/>
        <v/>
      </c>
      <c r="BE45" s="1">
        <f t="shared" si="28"/>
        <v>0</v>
      </c>
      <c r="BF45" s="1"/>
    </row>
    <row r="46" spans="2:58" s="18" customFormat="1">
      <c r="C46" s="459" t="s">
        <v>17</v>
      </c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Q46" s="460"/>
      <c r="R46" s="460"/>
      <c r="S46" s="460"/>
      <c r="T46" s="460"/>
      <c r="U46" s="460"/>
      <c r="V46" s="460"/>
      <c r="W46" s="487"/>
      <c r="X46" s="21">
        <f>SUM(X39:X45)</f>
        <v>26.45</v>
      </c>
    </row>
    <row r="48" spans="2:58">
      <c r="B48" s="1" t="s">
        <v>461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</row>
    <row r="49" spans="3:60" ht="31.15" customHeight="1">
      <c r="C49" s="462" t="s">
        <v>10</v>
      </c>
      <c r="D49" s="462" t="s">
        <v>11</v>
      </c>
      <c r="E49" s="465" t="s">
        <v>13</v>
      </c>
      <c r="F49" s="466"/>
      <c r="G49" s="466"/>
      <c r="H49" s="467"/>
      <c r="I49" s="462" t="s">
        <v>12</v>
      </c>
      <c r="J49" s="474" t="s">
        <v>183</v>
      </c>
      <c r="K49" s="474" t="s">
        <v>15</v>
      </c>
      <c r="L49" s="474" t="s">
        <v>462</v>
      </c>
      <c r="M49" s="488" t="s">
        <v>463</v>
      </c>
      <c r="N49" s="494" t="s">
        <v>245</v>
      </c>
      <c r="O49" s="491" t="s">
        <v>473</v>
      </c>
      <c r="P49" s="492"/>
      <c r="Q49" s="491" t="s">
        <v>244</v>
      </c>
      <c r="R49" s="493"/>
      <c r="S49" s="493"/>
      <c r="T49" s="493"/>
      <c r="U49" s="493"/>
      <c r="V49" s="492"/>
      <c r="W49" s="499" t="s">
        <v>206</v>
      </c>
    </row>
    <row r="50" spans="3:60" ht="23.45" customHeight="1">
      <c r="C50" s="463"/>
      <c r="D50" s="463"/>
      <c r="E50" s="468"/>
      <c r="F50" s="469"/>
      <c r="G50" s="469"/>
      <c r="H50" s="470"/>
      <c r="I50" s="463"/>
      <c r="J50" s="475"/>
      <c r="K50" s="476"/>
      <c r="L50" s="476"/>
      <c r="M50" s="489"/>
      <c r="N50" s="495"/>
      <c r="O50" s="404" t="s">
        <v>475</v>
      </c>
      <c r="P50" s="404" t="s">
        <v>476</v>
      </c>
      <c r="Q50" s="491" t="s">
        <v>466</v>
      </c>
      <c r="R50" s="492"/>
      <c r="S50" s="491" t="s">
        <v>465</v>
      </c>
      <c r="T50" s="493"/>
      <c r="U50" s="492"/>
      <c r="V50" s="497" t="s">
        <v>481</v>
      </c>
      <c r="W50" s="500"/>
    </row>
    <row r="51" spans="3:60" ht="56.45" customHeight="1">
      <c r="C51" s="464"/>
      <c r="D51" s="464"/>
      <c r="E51" s="471"/>
      <c r="F51" s="472"/>
      <c r="G51" s="472"/>
      <c r="H51" s="473"/>
      <c r="I51" s="464"/>
      <c r="J51" s="153" t="s">
        <v>174</v>
      </c>
      <c r="K51" s="475"/>
      <c r="L51" s="475"/>
      <c r="M51" s="490"/>
      <c r="N51" s="496"/>
      <c r="O51" s="405"/>
      <c r="P51" s="405"/>
      <c r="Q51" s="167" t="s">
        <v>466</v>
      </c>
      <c r="R51" s="161" t="s">
        <v>393</v>
      </c>
      <c r="S51" s="169" t="s">
        <v>468</v>
      </c>
      <c r="T51" s="169" t="s">
        <v>467</v>
      </c>
      <c r="U51" s="161" t="s">
        <v>393</v>
      </c>
      <c r="V51" s="498"/>
      <c r="W51" s="501"/>
      <c r="BE51" s="162" t="s">
        <v>469</v>
      </c>
      <c r="BF51" s="162"/>
      <c r="BG51" s="162" t="s">
        <v>470</v>
      </c>
      <c r="BH51" s="206"/>
    </row>
    <row r="52" spans="3:60">
      <c r="C52" s="158">
        <v>1</v>
      </c>
      <c r="D52" s="158" t="s">
        <v>471</v>
      </c>
      <c r="E52" s="406" t="s">
        <v>472</v>
      </c>
      <c r="F52" s="407"/>
      <c r="G52" s="407"/>
      <c r="H52" s="408"/>
      <c r="I52" s="158">
        <v>1</v>
      </c>
      <c r="J52" s="158" t="s">
        <v>444</v>
      </c>
      <c r="K52" s="158">
        <v>10</v>
      </c>
      <c r="L52" s="158">
        <v>5</v>
      </c>
      <c r="M52" s="160" t="s">
        <v>464</v>
      </c>
      <c r="N52" s="165">
        <f>+IF(M52="",0,IF(M52="หลัก",L52*1,L52*0.5))</f>
        <v>5</v>
      </c>
      <c r="O52" s="158"/>
      <c r="P52" s="158"/>
      <c r="Q52" s="158"/>
      <c r="R52" s="165">
        <f>Q52*1.5/15</f>
        <v>0</v>
      </c>
      <c r="S52" s="158"/>
      <c r="T52" s="158"/>
      <c r="U52" s="165">
        <f>+BE52+BG52</f>
        <v>0</v>
      </c>
      <c r="V52" s="158"/>
      <c r="W52" s="166">
        <f>+N52+O52+P52+R52+U52+V52</f>
        <v>5</v>
      </c>
      <c r="BE52" s="1">
        <f>+S52*0.2</f>
        <v>0</v>
      </c>
      <c r="BG52" s="1">
        <f>+T52*0.4</f>
        <v>0</v>
      </c>
    </row>
    <row r="53" spans="3:60">
      <c r="C53" s="158">
        <v>1</v>
      </c>
      <c r="D53" s="158" t="s">
        <v>471</v>
      </c>
      <c r="E53" s="406" t="s">
        <v>472</v>
      </c>
      <c r="F53" s="407"/>
      <c r="G53" s="407"/>
      <c r="H53" s="408"/>
      <c r="I53" s="158">
        <v>1</v>
      </c>
      <c r="J53" s="158" t="s">
        <v>444</v>
      </c>
      <c r="K53" s="158"/>
      <c r="L53" s="158">
        <v>5</v>
      </c>
      <c r="M53" s="160" t="s">
        <v>423</v>
      </c>
      <c r="N53" s="165">
        <f>+IF(M53="",0,IF(M53="หลัก",L53*1,L53*0.5))</f>
        <v>2.5</v>
      </c>
      <c r="O53" s="158"/>
      <c r="P53" s="158"/>
      <c r="Q53" s="158"/>
      <c r="R53" s="165">
        <f t="shared" ref="R53:R55" si="29">Q53*1.5/15</f>
        <v>0</v>
      </c>
      <c r="S53" s="158"/>
      <c r="T53" s="158"/>
      <c r="U53" s="165">
        <f t="shared" ref="U53:U55" si="30">+BE53+BG53</f>
        <v>0</v>
      </c>
      <c r="V53" s="158"/>
      <c r="W53" s="166">
        <f t="shared" ref="W53:W55" si="31">+N53+O53+P53+R53+U53+V53</f>
        <v>2.5</v>
      </c>
      <c r="BE53" s="1">
        <f t="shared" ref="BE53" si="32">+S53*0.2</f>
        <v>0</v>
      </c>
      <c r="BG53" s="1">
        <f t="shared" ref="BG53" si="33">+T53*0.4</f>
        <v>0</v>
      </c>
    </row>
    <row r="54" spans="3:60">
      <c r="C54" s="158">
        <v>2</v>
      </c>
      <c r="D54" s="158" t="s">
        <v>474</v>
      </c>
      <c r="E54" s="406" t="s">
        <v>473</v>
      </c>
      <c r="F54" s="407"/>
      <c r="G54" s="407"/>
      <c r="H54" s="408"/>
      <c r="I54" s="158">
        <v>1</v>
      </c>
      <c r="J54" s="158"/>
      <c r="K54" s="158"/>
      <c r="L54" s="158"/>
      <c r="M54" s="160"/>
      <c r="N54" s="165">
        <f t="shared" ref="N54:N55" si="34">+IF(M54="",0,IF(M54="หลัก",L54*1,L54*0.5))</f>
        <v>0</v>
      </c>
      <c r="O54" s="158">
        <v>1</v>
      </c>
      <c r="P54" s="158"/>
      <c r="Q54" s="158"/>
      <c r="R54" s="165">
        <f t="shared" si="29"/>
        <v>0</v>
      </c>
      <c r="S54" s="158"/>
      <c r="T54" s="158"/>
      <c r="U54" s="165">
        <f t="shared" si="30"/>
        <v>0</v>
      </c>
      <c r="V54" s="158"/>
      <c r="W54" s="166">
        <f t="shared" si="31"/>
        <v>1</v>
      </c>
      <c r="BE54" s="1">
        <f t="shared" ref="BE54:BE59" si="35">+S54*0.2</f>
        <v>0</v>
      </c>
      <c r="BG54" s="1">
        <f t="shared" ref="BG54:BG59" si="36">+T54*0.4</f>
        <v>0</v>
      </c>
    </row>
    <row r="55" spans="3:60">
      <c r="C55" s="158"/>
      <c r="D55" s="158"/>
      <c r="E55" s="406"/>
      <c r="F55" s="407"/>
      <c r="G55" s="407"/>
      <c r="H55" s="408"/>
      <c r="I55" s="158"/>
      <c r="J55" s="158"/>
      <c r="K55" s="158"/>
      <c r="L55" s="158"/>
      <c r="M55" s="160"/>
      <c r="N55" s="165">
        <f t="shared" si="34"/>
        <v>0</v>
      </c>
      <c r="O55" s="158"/>
      <c r="P55" s="158">
        <v>2</v>
      </c>
      <c r="Q55" s="158"/>
      <c r="R55" s="165">
        <f t="shared" si="29"/>
        <v>0</v>
      </c>
      <c r="S55" s="158"/>
      <c r="T55" s="158"/>
      <c r="U55" s="165">
        <f t="shared" si="30"/>
        <v>0</v>
      </c>
      <c r="V55" s="158"/>
      <c r="W55" s="166">
        <f t="shared" si="31"/>
        <v>2</v>
      </c>
      <c r="BE55" s="1">
        <f t="shared" si="35"/>
        <v>0</v>
      </c>
      <c r="BG55" s="1">
        <f t="shared" si="36"/>
        <v>0</v>
      </c>
    </row>
    <row r="56" spans="3:60">
      <c r="C56" s="158">
        <v>3</v>
      </c>
      <c r="D56" s="158" t="s">
        <v>479</v>
      </c>
      <c r="E56" s="406" t="s">
        <v>480</v>
      </c>
      <c r="F56" s="407"/>
      <c r="G56" s="407"/>
      <c r="H56" s="408"/>
      <c r="I56" s="158">
        <v>1</v>
      </c>
      <c r="J56" s="158"/>
      <c r="K56" s="158"/>
      <c r="L56" s="158"/>
      <c r="M56" s="160"/>
      <c r="N56" s="165">
        <f t="shared" ref="N56:N59" si="37">+IF(M56="",0,IF(M56="หลัก",L56*1,L56*0.5))</f>
        <v>0</v>
      </c>
      <c r="O56" s="158"/>
      <c r="P56" s="158"/>
      <c r="Q56" s="158">
        <v>45</v>
      </c>
      <c r="R56" s="165">
        <f t="shared" ref="R56:R59" si="38">Q56*1.5/15</f>
        <v>4.5</v>
      </c>
      <c r="S56" s="158"/>
      <c r="T56" s="158"/>
      <c r="U56" s="165">
        <f t="shared" ref="U56:U59" si="39">+BE56+BG56</f>
        <v>0</v>
      </c>
      <c r="V56" s="158"/>
      <c r="W56" s="166">
        <f t="shared" ref="W56:W59" si="40">+N56+O56+P56+R56+U56+V56</f>
        <v>4.5</v>
      </c>
      <c r="BE56" s="1">
        <f t="shared" si="35"/>
        <v>0</v>
      </c>
      <c r="BG56" s="1">
        <f t="shared" si="36"/>
        <v>0</v>
      </c>
    </row>
    <row r="57" spans="3:60">
      <c r="C57" s="158"/>
      <c r="D57" s="158"/>
      <c r="E57" s="406"/>
      <c r="F57" s="407"/>
      <c r="G57" s="407"/>
      <c r="H57" s="408"/>
      <c r="I57" s="158"/>
      <c r="J57" s="158"/>
      <c r="K57" s="158"/>
      <c r="L57" s="158"/>
      <c r="M57" s="160"/>
      <c r="N57" s="165">
        <f t="shared" si="37"/>
        <v>0</v>
      </c>
      <c r="O57" s="158"/>
      <c r="P57" s="158"/>
      <c r="Q57" s="158"/>
      <c r="R57" s="165">
        <f t="shared" si="38"/>
        <v>0</v>
      </c>
      <c r="S57" s="158">
        <v>5</v>
      </c>
      <c r="T57" s="158"/>
      <c r="U57" s="165">
        <f t="shared" si="39"/>
        <v>1</v>
      </c>
      <c r="V57" s="158"/>
      <c r="W57" s="166">
        <f t="shared" si="40"/>
        <v>1</v>
      </c>
      <c r="BE57" s="1">
        <f t="shared" si="35"/>
        <v>1</v>
      </c>
      <c r="BG57" s="1">
        <f t="shared" si="36"/>
        <v>0</v>
      </c>
    </row>
    <row r="58" spans="3:60">
      <c r="C58" s="158"/>
      <c r="D58" s="158"/>
      <c r="E58" s="406"/>
      <c r="F58" s="407"/>
      <c r="G58" s="407"/>
      <c r="H58" s="408"/>
      <c r="I58" s="158"/>
      <c r="J58" s="159"/>
      <c r="K58" s="158"/>
      <c r="L58" s="158"/>
      <c r="M58" s="160"/>
      <c r="N58" s="165">
        <f t="shared" si="37"/>
        <v>0</v>
      </c>
      <c r="O58" s="158"/>
      <c r="P58" s="158"/>
      <c r="Q58" s="158"/>
      <c r="R58" s="165">
        <f t="shared" si="38"/>
        <v>0</v>
      </c>
      <c r="S58" s="158"/>
      <c r="T58" s="158">
        <v>4</v>
      </c>
      <c r="U58" s="165">
        <f t="shared" si="39"/>
        <v>1.6</v>
      </c>
      <c r="V58" s="158"/>
      <c r="W58" s="166">
        <f t="shared" si="40"/>
        <v>1.6</v>
      </c>
      <c r="BE58" s="1">
        <f t="shared" si="35"/>
        <v>0</v>
      </c>
      <c r="BG58" s="1">
        <f t="shared" si="36"/>
        <v>1.6</v>
      </c>
    </row>
    <row r="59" spans="3:60">
      <c r="C59" s="158"/>
      <c r="D59" s="158"/>
      <c r="E59" s="406"/>
      <c r="F59" s="407"/>
      <c r="G59" s="407"/>
      <c r="H59" s="408"/>
      <c r="I59" s="158"/>
      <c r="J59" s="159"/>
      <c r="K59" s="158"/>
      <c r="L59" s="158"/>
      <c r="M59" s="160"/>
      <c r="N59" s="165">
        <f t="shared" si="37"/>
        <v>0</v>
      </c>
      <c r="O59" s="158"/>
      <c r="P59" s="158"/>
      <c r="Q59" s="158"/>
      <c r="R59" s="165">
        <f t="shared" si="38"/>
        <v>0</v>
      </c>
      <c r="S59" s="158"/>
      <c r="T59" s="158"/>
      <c r="U59" s="165">
        <f t="shared" si="39"/>
        <v>0</v>
      </c>
      <c r="V59" s="158"/>
      <c r="W59" s="166">
        <f t="shared" si="40"/>
        <v>0</v>
      </c>
      <c r="BE59" s="1">
        <f t="shared" si="35"/>
        <v>0</v>
      </c>
      <c r="BG59" s="1">
        <f t="shared" si="36"/>
        <v>0</v>
      </c>
    </row>
    <row r="60" spans="3:60">
      <c r="C60" s="412" t="s">
        <v>499</v>
      </c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4"/>
      <c r="W60" s="166">
        <f>SUM(W52:W59)</f>
        <v>17.600000000000001</v>
      </c>
    </row>
    <row r="61" spans="3:60" s="18" customFormat="1">
      <c r="C61" s="174" t="s">
        <v>477</v>
      </c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39"/>
    </row>
    <row r="62" spans="3:60" s="18" customFormat="1">
      <c r="C62" s="174" t="s">
        <v>478</v>
      </c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39"/>
    </row>
    <row r="63" spans="3:60" s="18" customFormat="1">
      <c r="C63" s="174" t="s">
        <v>482</v>
      </c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39"/>
    </row>
    <row r="64" spans="3:60" s="18" customFormat="1">
      <c r="C64" s="163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9"/>
    </row>
    <row r="65" spans="2:61" s="18" customFormat="1">
      <c r="B65" s="38" t="s">
        <v>483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9"/>
    </row>
    <row r="66" spans="2:61" ht="31.15" customHeight="1">
      <c r="C66" s="462" t="s">
        <v>10</v>
      </c>
      <c r="D66" s="462" t="s">
        <v>11</v>
      </c>
      <c r="E66" s="465" t="s">
        <v>13</v>
      </c>
      <c r="F66" s="466"/>
      <c r="G66" s="466"/>
      <c r="H66" s="467"/>
      <c r="I66" s="462" t="s">
        <v>12</v>
      </c>
      <c r="J66" s="474" t="s">
        <v>183</v>
      </c>
      <c r="K66" s="474" t="s">
        <v>15</v>
      </c>
      <c r="L66" s="474" t="s">
        <v>484</v>
      </c>
      <c r="M66" s="527" t="s">
        <v>240</v>
      </c>
      <c r="N66" s="528"/>
      <c r="O66" s="529"/>
      <c r="P66" s="491" t="s">
        <v>424</v>
      </c>
      <c r="Q66" s="493"/>
      <c r="R66" s="492"/>
      <c r="S66" s="491" t="s">
        <v>244</v>
      </c>
      <c r="T66" s="492"/>
      <c r="U66" s="532" t="s">
        <v>206</v>
      </c>
    </row>
    <row r="67" spans="2:61" ht="23.45" customHeight="1">
      <c r="C67" s="463"/>
      <c r="D67" s="463"/>
      <c r="E67" s="468"/>
      <c r="F67" s="469"/>
      <c r="G67" s="469"/>
      <c r="H67" s="470"/>
      <c r="I67" s="463"/>
      <c r="J67" s="475"/>
      <c r="K67" s="476"/>
      <c r="L67" s="476"/>
      <c r="M67" s="488" t="s">
        <v>463</v>
      </c>
      <c r="N67" s="488" t="s">
        <v>485</v>
      </c>
      <c r="O67" s="494" t="s">
        <v>82</v>
      </c>
      <c r="P67" s="404" t="s">
        <v>489</v>
      </c>
      <c r="Q67" s="404" t="s">
        <v>490</v>
      </c>
      <c r="R67" s="494" t="s">
        <v>82</v>
      </c>
      <c r="S67" s="530" t="s">
        <v>466</v>
      </c>
      <c r="T67" s="535" t="s">
        <v>393</v>
      </c>
      <c r="U67" s="533"/>
    </row>
    <row r="68" spans="2:61" ht="56.45" customHeight="1">
      <c r="C68" s="464"/>
      <c r="D68" s="464"/>
      <c r="E68" s="471"/>
      <c r="F68" s="472"/>
      <c r="G68" s="472"/>
      <c r="H68" s="473"/>
      <c r="I68" s="464"/>
      <c r="J68" s="153" t="s">
        <v>174</v>
      </c>
      <c r="K68" s="475"/>
      <c r="L68" s="475"/>
      <c r="M68" s="490"/>
      <c r="N68" s="490"/>
      <c r="O68" s="496"/>
      <c r="P68" s="405"/>
      <c r="Q68" s="405"/>
      <c r="R68" s="496"/>
      <c r="S68" s="531"/>
      <c r="T68" s="536"/>
      <c r="U68" s="534"/>
      <c r="BB68" s="1" t="s">
        <v>488</v>
      </c>
      <c r="BC68" s="1" t="s">
        <v>426</v>
      </c>
      <c r="BD68" s="1" t="s">
        <v>487</v>
      </c>
      <c r="BG68" s="1" t="s">
        <v>489</v>
      </c>
      <c r="BI68" s="1" t="s">
        <v>490</v>
      </c>
    </row>
    <row r="69" spans="2:61">
      <c r="C69" s="158">
        <v>1</v>
      </c>
      <c r="D69" s="158" t="s">
        <v>491</v>
      </c>
      <c r="E69" s="406"/>
      <c r="F69" s="407"/>
      <c r="G69" s="407"/>
      <c r="H69" s="408"/>
      <c r="I69" s="158">
        <v>1</v>
      </c>
      <c r="J69" s="158" t="s">
        <v>444</v>
      </c>
      <c r="K69" s="158">
        <v>10</v>
      </c>
      <c r="L69" s="158">
        <v>1</v>
      </c>
      <c r="M69" s="160" t="s">
        <v>464</v>
      </c>
      <c r="N69" s="164" t="s">
        <v>486</v>
      </c>
      <c r="O69" s="165">
        <f t="shared" ref="O69:O80" si="41">+IF(M69="",0,SUM(BB69:BD69))</f>
        <v>1</v>
      </c>
      <c r="P69" s="168"/>
      <c r="Q69" s="168"/>
      <c r="R69" s="165">
        <f t="shared" ref="R69:R74" si="42">SUM(BG69:BI69)</f>
        <v>0</v>
      </c>
      <c r="S69" s="158"/>
      <c r="T69" s="157">
        <f>S69*1.5/15</f>
        <v>0</v>
      </c>
      <c r="U69" s="166">
        <f>+O69+R69+T69</f>
        <v>1</v>
      </c>
      <c r="BB69" s="1">
        <f t="shared" ref="BB69:BB80" si="43">IF(N69="",0,IF(N69="วิทยานิพนธ์",0,IF(N69="ดุษฎีนิพนธ์",0,IF(M69="หลัก",L69*1,L69*0.5))))</f>
        <v>1</v>
      </c>
      <c r="BC69" s="1">
        <f t="shared" ref="BC69:BC80" si="44">IF(N69="",0,IF(N69="ค้นคว้าอิสระ/สาระนิพนธ์",0,IF(N69="ดุษฎีนิพนธ์",0,IF(M69="หลัก",L69*1.5,L69*0.5))))</f>
        <v>0</v>
      </c>
      <c r="BD69" s="1">
        <f t="shared" ref="BD69:BD80" si="45">IF(N69="",0,IF(N69="วิทยานิพนธ์",0,IF(N69="ค้นคว้าอิสระ/สาระนิพนธ์",0,IF(M69="หลัก",L69*3,L69*1))))</f>
        <v>0</v>
      </c>
      <c r="BG69" s="1">
        <f t="shared" ref="BG69:BG80" si="46">+IF(P69="",0,IF(P69="ดุษฎีนิพนธ์",L69*0.5,L69*0.2))</f>
        <v>0</v>
      </c>
      <c r="BI69" s="1">
        <f t="shared" ref="BI69:BI80" si="47">IF(Q69="",0,IF(Q69="ค้นคว้าอิสระ/สาระนิพนธ์",L69*0.2,IF(Q69="วิทยานิพนธ์",L69*0.3,L69*0.6)))</f>
        <v>0</v>
      </c>
    </row>
    <row r="70" spans="2:61">
      <c r="C70" s="158"/>
      <c r="D70" s="158" t="s">
        <v>492</v>
      </c>
      <c r="E70" s="406"/>
      <c r="F70" s="407"/>
      <c r="G70" s="407"/>
      <c r="H70" s="408"/>
      <c r="I70" s="158">
        <v>1</v>
      </c>
      <c r="J70" s="158" t="s">
        <v>444</v>
      </c>
      <c r="K70" s="158"/>
      <c r="L70" s="158">
        <v>1</v>
      </c>
      <c r="M70" s="160" t="s">
        <v>464</v>
      </c>
      <c r="N70" s="164" t="s">
        <v>426</v>
      </c>
      <c r="O70" s="165">
        <f t="shared" si="41"/>
        <v>1.5</v>
      </c>
      <c r="P70" s="168"/>
      <c r="Q70" s="168"/>
      <c r="R70" s="165">
        <f t="shared" si="42"/>
        <v>0</v>
      </c>
      <c r="S70" s="158"/>
      <c r="T70" s="157">
        <f t="shared" ref="T70:T74" si="48">S70*1.5/15</f>
        <v>0</v>
      </c>
      <c r="U70" s="166">
        <f t="shared" ref="U70:U80" si="49">+O70+R70+T70</f>
        <v>1.5</v>
      </c>
      <c r="BB70" s="1">
        <f t="shared" si="43"/>
        <v>0</v>
      </c>
      <c r="BC70" s="1">
        <f t="shared" si="44"/>
        <v>1.5</v>
      </c>
      <c r="BD70" s="1">
        <f t="shared" si="45"/>
        <v>0</v>
      </c>
      <c r="BG70" s="1">
        <f t="shared" si="46"/>
        <v>0</v>
      </c>
      <c r="BI70" s="1">
        <f t="shared" si="47"/>
        <v>0</v>
      </c>
    </row>
    <row r="71" spans="2:61">
      <c r="C71" s="158"/>
      <c r="D71" s="158" t="s">
        <v>493</v>
      </c>
      <c r="E71" s="406"/>
      <c r="F71" s="407"/>
      <c r="G71" s="407"/>
      <c r="H71" s="408"/>
      <c r="I71" s="158">
        <v>1</v>
      </c>
      <c r="J71" s="158"/>
      <c r="K71" s="158"/>
      <c r="L71" s="158">
        <v>1</v>
      </c>
      <c r="M71" s="160" t="s">
        <v>464</v>
      </c>
      <c r="N71" s="164" t="s">
        <v>487</v>
      </c>
      <c r="O71" s="165">
        <f t="shared" si="41"/>
        <v>3</v>
      </c>
      <c r="P71" s="168"/>
      <c r="Q71" s="168"/>
      <c r="R71" s="165">
        <f t="shared" si="42"/>
        <v>0</v>
      </c>
      <c r="S71" s="158"/>
      <c r="T71" s="157">
        <f t="shared" si="48"/>
        <v>0</v>
      </c>
      <c r="U71" s="166">
        <f t="shared" si="49"/>
        <v>3</v>
      </c>
      <c r="BB71" s="1">
        <f t="shared" si="43"/>
        <v>0</v>
      </c>
      <c r="BC71" s="1">
        <f t="shared" si="44"/>
        <v>0</v>
      </c>
      <c r="BD71" s="1">
        <f t="shared" si="45"/>
        <v>3</v>
      </c>
      <c r="BG71" s="1">
        <f t="shared" si="46"/>
        <v>0</v>
      </c>
      <c r="BI71" s="1">
        <f t="shared" si="47"/>
        <v>0</v>
      </c>
    </row>
    <row r="72" spans="2:61">
      <c r="C72" s="158"/>
      <c r="D72" s="158"/>
      <c r="E72" s="406"/>
      <c r="F72" s="407"/>
      <c r="G72" s="407"/>
      <c r="H72" s="408"/>
      <c r="I72" s="158">
        <v>1</v>
      </c>
      <c r="J72" s="158"/>
      <c r="K72" s="158"/>
      <c r="L72" s="158">
        <v>1</v>
      </c>
      <c r="M72" s="160"/>
      <c r="N72" s="164"/>
      <c r="O72" s="165">
        <f t="shared" si="41"/>
        <v>0</v>
      </c>
      <c r="P72" s="168" t="s">
        <v>486</v>
      </c>
      <c r="Q72" s="168"/>
      <c r="R72" s="165">
        <f t="shared" si="42"/>
        <v>0.2</v>
      </c>
      <c r="S72" s="158"/>
      <c r="T72" s="157">
        <f t="shared" si="48"/>
        <v>0</v>
      </c>
      <c r="U72" s="166">
        <f t="shared" si="49"/>
        <v>0.2</v>
      </c>
      <c r="BB72" s="1">
        <f t="shared" si="43"/>
        <v>0</v>
      </c>
      <c r="BC72" s="1">
        <f t="shared" si="44"/>
        <v>0</v>
      </c>
      <c r="BD72" s="1">
        <f t="shared" si="45"/>
        <v>0</v>
      </c>
      <c r="BG72" s="1">
        <f t="shared" si="46"/>
        <v>0.2</v>
      </c>
      <c r="BI72" s="1">
        <f t="shared" si="47"/>
        <v>0</v>
      </c>
    </row>
    <row r="73" spans="2:61">
      <c r="C73" s="158"/>
      <c r="D73" s="158"/>
      <c r="E73" s="406"/>
      <c r="F73" s="407"/>
      <c r="G73" s="407"/>
      <c r="H73" s="408"/>
      <c r="I73" s="158">
        <v>1</v>
      </c>
      <c r="J73" s="158"/>
      <c r="K73" s="158"/>
      <c r="L73" s="158">
        <v>1</v>
      </c>
      <c r="M73" s="160"/>
      <c r="N73" s="164"/>
      <c r="O73" s="165">
        <f t="shared" si="41"/>
        <v>0</v>
      </c>
      <c r="P73" s="168" t="s">
        <v>426</v>
      </c>
      <c r="Q73" s="168"/>
      <c r="R73" s="165">
        <f t="shared" si="42"/>
        <v>0.2</v>
      </c>
      <c r="S73" s="158"/>
      <c r="T73" s="157">
        <f t="shared" si="48"/>
        <v>0</v>
      </c>
      <c r="U73" s="166">
        <f t="shared" si="49"/>
        <v>0.2</v>
      </c>
      <c r="BB73" s="1">
        <f t="shared" si="43"/>
        <v>0</v>
      </c>
      <c r="BC73" s="1">
        <f t="shared" si="44"/>
        <v>0</v>
      </c>
      <c r="BD73" s="1">
        <f t="shared" si="45"/>
        <v>0</v>
      </c>
      <c r="BG73" s="1">
        <f t="shared" si="46"/>
        <v>0.2</v>
      </c>
      <c r="BI73" s="1">
        <f t="shared" si="47"/>
        <v>0</v>
      </c>
    </row>
    <row r="74" spans="2:61">
      <c r="C74" s="158"/>
      <c r="D74" s="158"/>
      <c r="E74" s="406"/>
      <c r="F74" s="407"/>
      <c r="G74" s="407"/>
      <c r="H74" s="408"/>
      <c r="I74" s="158">
        <v>1</v>
      </c>
      <c r="J74" s="158"/>
      <c r="K74" s="158"/>
      <c r="L74" s="158">
        <v>1</v>
      </c>
      <c r="M74" s="160"/>
      <c r="N74" s="164"/>
      <c r="O74" s="165">
        <f t="shared" si="41"/>
        <v>0</v>
      </c>
      <c r="P74" s="168" t="s">
        <v>487</v>
      </c>
      <c r="Q74" s="168"/>
      <c r="R74" s="165">
        <f t="shared" si="42"/>
        <v>0.5</v>
      </c>
      <c r="S74" s="158"/>
      <c r="T74" s="157">
        <f t="shared" si="48"/>
        <v>0</v>
      </c>
      <c r="U74" s="166">
        <f t="shared" si="49"/>
        <v>0.5</v>
      </c>
      <c r="BB74" s="1">
        <f t="shared" si="43"/>
        <v>0</v>
      </c>
      <c r="BC74" s="1">
        <f t="shared" si="44"/>
        <v>0</v>
      </c>
      <c r="BD74" s="1">
        <f t="shared" si="45"/>
        <v>0</v>
      </c>
      <c r="BG74" s="1">
        <f t="shared" si="46"/>
        <v>0.5</v>
      </c>
      <c r="BI74" s="1">
        <f t="shared" si="47"/>
        <v>0</v>
      </c>
    </row>
    <row r="75" spans="2:61">
      <c r="C75" s="158"/>
      <c r="D75" s="158"/>
      <c r="E75" s="154"/>
      <c r="F75" s="155"/>
      <c r="G75" s="155"/>
      <c r="H75" s="156"/>
      <c r="I75" s="158">
        <v>1</v>
      </c>
      <c r="J75" s="158"/>
      <c r="K75" s="158"/>
      <c r="L75" s="158">
        <v>1</v>
      </c>
      <c r="M75" s="160"/>
      <c r="N75" s="164"/>
      <c r="O75" s="165">
        <f t="shared" si="41"/>
        <v>0</v>
      </c>
      <c r="P75" s="168"/>
      <c r="Q75" s="168" t="s">
        <v>486</v>
      </c>
      <c r="R75" s="165">
        <f t="shared" ref="R75:R80" si="50">SUM(BG75:BI75)</f>
        <v>0.2</v>
      </c>
      <c r="S75" s="158"/>
      <c r="T75" s="157">
        <f t="shared" ref="T75:T80" si="51">S75*1.5/15</f>
        <v>0</v>
      </c>
      <c r="U75" s="166">
        <f t="shared" si="49"/>
        <v>0.2</v>
      </c>
      <c r="BB75" s="1">
        <f t="shared" si="43"/>
        <v>0</v>
      </c>
      <c r="BC75" s="1">
        <f t="shared" si="44"/>
        <v>0</v>
      </c>
      <c r="BD75" s="1">
        <f t="shared" si="45"/>
        <v>0</v>
      </c>
      <c r="BG75" s="1">
        <f t="shared" si="46"/>
        <v>0</v>
      </c>
      <c r="BI75" s="1">
        <f t="shared" si="47"/>
        <v>0.2</v>
      </c>
    </row>
    <row r="76" spans="2:61">
      <c r="C76" s="158"/>
      <c r="D76" s="158"/>
      <c r="E76" s="154"/>
      <c r="F76" s="155"/>
      <c r="G76" s="155"/>
      <c r="H76" s="156"/>
      <c r="I76" s="158">
        <v>1</v>
      </c>
      <c r="J76" s="158"/>
      <c r="K76" s="158"/>
      <c r="L76" s="158">
        <v>1</v>
      </c>
      <c r="M76" s="160"/>
      <c r="N76" s="164"/>
      <c r="O76" s="165">
        <f t="shared" si="41"/>
        <v>0</v>
      </c>
      <c r="P76" s="168"/>
      <c r="Q76" s="168" t="s">
        <v>426</v>
      </c>
      <c r="R76" s="165">
        <f t="shared" si="50"/>
        <v>0.3</v>
      </c>
      <c r="S76" s="158"/>
      <c r="T76" s="157">
        <f t="shared" si="51"/>
        <v>0</v>
      </c>
      <c r="U76" s="166">
        <f t="shared" si="49"/>
        <v>0.3</v>
      </c>
      <c r="BB76" s="1">
        <f t="shared" si="43"/>
        <v>0</v>
      </c>
      <c r="BC76" s="1">
        <f t="shared" si="44"/>
        <v>0</v>
      </c>
      <c r="BD76" s="1">
        <f t="shared" si="45"/>
        <v>0</v>
      </c>
      <c r="BG76" s="1">
        <f t="shared" si="46"/>
        <v>0</v>
      </c>
      <c r="BI76" s="1">
        <f t="shared" si="47"/>
        <v>0.3</v>
      </c>
    </row>
    <row r="77" spans="2:61">
      <c r="C77" s="158"/>
      <c r="D77" s="158"/>
      <c r="E77" s="154"/>
      <c r="F77" s="155"/>
      <c r="G77" s="155"/>
      <c r="H77" s="156"/>
      <c r="I77" s="158">
        <v>1</v>
      </c>
      <c r="J77" s="158"/>
      <c r="K77" s="158"/>
      <c r="L77" s="158">
        <v>1</v>
      </c>
      <c r="M77" s="160"/>
      <c r="N77" s="164"/>
      <c r="O77" s="165">
        <f t="shared" si="41"/>
        <v>0</v>
      </c>
      <c r="P77" s="168"/>
      <c r="Q77" s="168" t="s">
        <v>487</v>
      </c>
      <c r="R77" s="165">
        <f t="shared" si="50"/>
        <v>0.6</v>
      </c>
      <c r="S77" s="158"/>
      <c r="T77" s="157">
        <f t="shared" si="51"/>
        <v>0</v>
      </c>
      <c r="U77" s="166">
        <f t="shared" si="49"/>
        <v>0.6</v>
      </c>
      <c r="BB77" s="1">
        <f t="shared" si="43"/>
        <v>0</v>
      </c>
      <c r="BC77" s="1">
        <f t="shared" si="44"/>
        <v>0</v>
      </c>
      <c r="BD77" s="1">
        <f t="shared" si="45"/>
        <v>0</v>
      </c>
      <c r="BG77" s="1">
        <f t="shared" si="46"/>
        <v>0</v>
      </c>
      <c r="BI77" s="1">
        <f t="shared" si="47"/>
        <v>0.6</v>
      </c>
    </row>
    <row r="78" spans="2:61">
      <c r="C78" s="158"/>
      <c r="D78" s="158"/>
      <c r="E78" s="154"/>
      <c r="F78" s="155"/>
      <c r="G78" s="155"/>
      <c r="H78" s="156"/>
      <c r="I78" s="158">
        <v>1</v>
      </c>
      <c r="J78" s="158"/>
      <c r="K78" s="158"/>
      <c r="L78" s="158"/>
      <c r="M78" s="160"/>
      <c r="N78" s="164"/>
      <c r="O78" s="165">
        <f t="shared" si="41"/>
        <v>0</v>
      </c>
      <c r="P78" s="168"/>
      <c r="Q78" s="168"/>
      <c r="R78" s="165">
        <f t="shared" si="50"/>
        <v>0</v>
      </c>
      <c r="S78" s="158">
        <v>45</v>
      </c>
      <c r="T78" s="157">
        <f t="shared" si="51"/>
        <v>4.5</v>
      </c>
      <c r="U78" s="166">
        <f t="shared" si="49"/>
        <v>4.5</v>
      </c>
      <c r="BB78" s="1">
        <f t="shared" si="43"/>
        <v>0</v>
      </c>
      <c r="BC78" s="1">
        <f t="shared" si="44"/>
        <v>0</v>
      </c>
      <c r="BD78" s="1">
        <f t="shared" si="45"/>
        <v>0</v>
      </c>
      <c r="BG78" s="1">
        <f t="shared" si="46"/>
        <v>0</v>
      </c>
      <c r="BI78" s="1">
        <f t="shared" si="47"/>
        <v>0</v>
      </c>
    </row>
    <row r="79" spans="2:61">
      <c r="C79" s="158"/>
      <c r="D79" s="158"/>
      <c r="E79" s="406"/>
      <c r="F79" s="407"/>
      <c r="G79" s="407"/>
      <c r="H79" s="408"/>
      <c r="I79" s="158">
        <v>1</v>
      </c>
      <c r="J79" s="159"/>
      <c r="K79" s="158"/>
      <c r="L79" s="158"/>
      <c r="M79" s="160"/>
      <c r="N79" s="164"/>
      <c r="O79" s="165">
        <f t="shared" si="41"/>
        <v>0</v>
      </c>
      <c r="P79" s="168"/>
      <c r="Q79" s="168"/>
      <c r="R79" s="165">
        <f t="shared" si="50"/>
        <v>0</v>
      </c>
      <c r="S79" s="158"/>
      <c r="T79" s="157">
        <f t="shared" si="51"/>
        <v>0</v>
      </c>
      <c r="U79" s="166">
        <f t="shared" si="49"/>
        <v>0</v>
      </c>
      <c r="BB79" s="1">
        <f t="shared" si="43"/>
        <v>0</v>
      </c>
      <c r="BC79" s="1">
        <f t="shared" si="44"/>
        <v>0</v>
      </c>
      <c r="BD79" s="1">
        <f t="shared" si="45"/>
        <v>0</v>
      </c>
      <c r="BG79" s="1">
        <f t="shared" si="46"/>
        <v>0</v>
      </c>
      <c r="BI79" s="1">
        <f t="shared" si="47"/>
        <v>0</v>
      </c>
    </row>
    <row r="80" spans="2:61">
      <c r="C80" s="158"/>
      <c r="D80" s="158"/>
      <c r="E80" s="406"/>
      <c r="F80" s="407"/>
      <c r="G80" s="407"/>
      <c r="H80" s="408"/>
      <c r="I80" s="158"/>
      <c r="J80" s="159"/>
      <c r="K80" s="158"/>
      <c r="L80" s="158"/>
      <c r="M80" s="160"/>
      <c r="N80" s="164"/>
      <c r="O80" s="165">
        <f t="shared" si="41"/>
        <v>0</v>
      </c>
      <c r="P80" s="168"/>
      <c r="Q80" s="168"/>
      <c r="R80" s="165">
        <f t="shared" si="50"/>
        <v>0</v>
      </c>
      <c r="S80" s="158"/>
      <c r="T80" s="157">
        <f t="shared" si="51"/>
        <v>0</v>
      </c>
      <c r="U80" s="166">
        <f t="shared" si="49"/>
        <v>0</v>
      </c>
      <c r="BB80" s="1">
        <f t="shared" si="43"/>
        <v>0</v>
      </c>
      <c r="BC80" s="1">
        <f t="shared" si="44"/>
        <v>0</v>
      </c>
      <c r="BD80" s="1">
        <f t="shared" si="45"/>
        <v>0</v>
      </c>
      <c r="BG80" s="1">
        <f t="shared" si="46"/>
        <v>0</v>
      </c>
      <c r="BI80" s="1">
        <f t="shared" si="47"/>
        <v>0</v>
      </c>
    </row>
    <row r="81" spans="1:68">
      <c r="C81" s="412" t="s">
        <v>500</v>
      </c>
      <c r="D81" s="413"/>
      <c r="E81" s="413"/>
      <c r="F81" s="413"/>
      <c r="G81" s="413"/>
      <c r="H81" s="413"/>
      <c r="I81" s="413"/>
      <c r="J81" s="413"/>
      <c r="K81" s="413"/>
      <c r="L81" s="413"/>
      <c r="M81" s="413"/>
      <c r="N81" s="413"/>
      <c r="O81" s="413"/>
      <c r="P81" s="413"/>
      <c r="Q81" s="413"/>
      <c r="R81" s="413"/>
      <c r="S81" s="413"/>
      <c r="T81" s="414"/>
      <c r="U81" s="166">
        <f>SUM(U69:U80)</f>
        <v>12</v>
      </c>
    </row>
    <row r="82" spans="1:68" s="18" customFormat="1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9"/>
    </row>
    <row r="83" spans="1:68">
      <c r="B83" s="4" t="s">
        <v>425</v>
      </c>
    </row>
    <row r="84" spans="1:68" s="18" customFormat="1" ht="17.25" customHeight="1">
      <c r="C84" s="418" t="s">
        <v>10</v>
      </c>
      <c r="D84" s="421" t="s">
        <v>171</v>
      </c>
      <c r="E84" s="422"/>
      <c r="F84" s="422"/>
      <c r="G84" s="422"/>
      <c r="H84" s="422"/>
      <c r="I84" s="422"/>
      <c r="J84" s="422"/>
      <c r="K84" s="422"/>
      <c r="L84" s="422"/>
      <c r="M84" s="422"/>
      <c r="N84" s="423"/>
      <c r="O84" s="439" t="s">
        <v>172</v>
      </c>
      <c r="P84" s="440"/>
      <c r="Q84" s="441"/>
      <c r="R84" s="453" t="s">
        <v>505</v>
      </c>
      <c r="S84" s="454"/>
      <c r="T84" s="424" t="s">
        <v>181</v>
      </c>
      <c r="BE84" s="133" t="s">
        <v>183</v>
      </c>
      <c r="BF84" s="1"/>
      <c r="BG84" s="1"/>
      <c r="BH84" s="1"/>
      <c r="BI84" s="1"/>
      <c r="BJ84" s="1"/>
      <c r="BK84" s="1"/>
      <c r="BL84" s="1"/>
      <c r="BM84" s="1" t="s">
        <v>446</v>
      </c>
      <c r="BO84" s="1"/>
      <c r="BP84" s="1"/>
    </row>
    <row r="85" spans="1:68" s="18" customFormat="1" ht="17.25" customHeight="1">
      <c r="C85" s="419"/>
      <c r="D85" s="427" t="s">
        <v>11</v>
      </c>
      <c r="E85" s="430" t="s">
        <v>13</v>
      </c>
      <c r="F85" s="431"/>
      <c r="G85" s="431"/>
      <c r="H85" s="431"/>
      <c r="I85" s="431"/>
      <c r="J85" s="431"/>
      <c r="K85" s="432"/>
      <c r="L85" s="427" t="s">
        <v>12</v>
      </c>
      <c r="M85" s="427" t="s">
        <v>173</v>
      </c>
      <c r="N85" s="445" t="s">
        <v>14</v>
      </c>
      <c r="O85" s="447" t="s">
        <v>381</v>
      </c>
      <c r="P85" s="448"/>
      <c r="Q85" s="442" t="s">
        <v>15</v>
      </c>
      <c r="R85" s="455"/>
      <c r="S85" s="456"/>
      <c r="T85" s="425"/>
      <c r="BE85" s="36"/>
      <c r="BF85" s="1"/>
      <c r="BG85" s="1"/>
      <c r="BH85" s="1"/>
      <c r="BI85" s="1"/>
      <c r="BJ85" s="1"/>
      <c r="BK85" s="1"/>
      <c r="BL85" s="1"/>
      <c r="BM85" s="1"/>
      <c r="BO85" s="1"/>
      <c r="BP85" s="1"/>
    </row>
    <row r="86" spans="1:68" s="18" customFormat="1" ht="17.25" customHeight="1">
      <c r="C86" s="419"/>
      <c r="D86" s="428"/>
      <c r="E86" s="433"/>
      <c r="F86" s="434"/>
      <c r="G86" s="434"/>
      <c r="H86" s="434"/>
      <c r="I86" s="434"/>
      <c r="J86" s="434"/>
      <c r="K86" s="435"/>
      <c r="L86" s="428"/>
      <c r="M86" s="428"/>
      <c r="N86" s="446"/>
      <c r="O86" s="449"/>
      <c r="P86" s="450"/>
      <c r="Q86" s="443"/>
      <c r="R86" s="455"/>
      <c r="S86" s="456"/>
      <c r="T86" s="425"/>
      <c r="BE86" s="5" t="str">
        <f>+LEFT(G86,1)</f>
        <v/>
      </c>
      <c r="BF86" s="1"/>
      <c r="BG86" s="1"/>
      <c r="BH86" s="1"/>
      <c r="BI86" s="1"/>
      <c r="BJ86" s="1"/>
      <c r="BK86" s="1"/>
      <c r="BL86" s="1"/>
      <c r="BM86" s="1"/>
      <c r="BO86" s="1"/>
      <c r="BP86" s="1"/>
    </row>
    <row r="87" spans="1:68" s="18" customFormat="1" ht="17.25" customHeight="1">
      <c r="C87" s="419"/>
      <c r="D87" s="428"/>
      <c r="E87" s="433"/>
      <c r="F87" s="434"/>
      <c r="G87" s="434"/>
      <c r="H87" s="434"/>
      <c r="I87" s="434"/>
      <c r="J87" s="434"/>
      <c r="K87" s="435"/>
      <c r="L87" s="428"/>
      <c r="M87" s="428"/>
      <c r="N87" s="446"/>
      <c r="O87" s="451"/>
      <c r="P87" s="452"/>
      <c r="Q87" s="443"/>
      <c r="R87" s="457"/>
      <c r="S87" s="458"/>
      <c r="T87" s="425"/>
      <c r="BE87" s="5" t="str">
        <f>+LEFT(G87,1)</f>
        <v/>
      </c>
      <c r="BF87" s="1"/>
      <c r="BG87" s="1"/>
      <c r="BH87" s="1"/>
      <c r="BI87" s="1"/>
      <c r="BJ87" s="1"/>
      <c r="BK87" s="1"/>
      <c r="BL87" s="134" t="str">
        <f>+LEFT(BE94,1)</f>
        <v>1</v>
      </c>
      <c r="BM87" s="134">
        <v>0.03</v>
      </c>
      <c r="BO87" s="1"/>
      <c r="BP87" s="1"/>
    </row>
    <row r="88" spans="1:68" s="18" customFormat="1" ht="17.25" customHeight="1">
      <c r="C88" s="420"/>
      <c r="D88" s="429"/>
      <c r="E88" s="436"/>
      <c r="F88" s="437"/>
      <c r="G88" s="437"/>
      <c r="H88" s="437"/>
      <c r="I88" s="437"/>
      <c r="J88" s="437"/>
      <c r="K88" s="438"/>
      <c r="L88" s="429"/>
      <c r="M88" s="46" t="s">
        <v>498</v>
      </c>
      <c r="N88" s="35" t="s">
        <v>65</v>
      </c>
      <c r="O88" s="200" t="s">
        <v>46</v>
      </c>
      <c r="P88" s="208" t="s">
        <v>47</v>
      </c>
      <c r="Q88" s="444"/>
      <c r="R88" s="202" t="s">
        <v>46</v>
      </c>
      <c r="S88" s="202" t="s">
        <v>440</v>
      </c>
      <c r="T88" s="426"/>
      <c r="W88" s="19"/>
      <c r="BE88" s="5" t="str">
        <f>+LEFT(G88,1)</f>
        <v/>
      </c>
      <c r="BF88" s="1"/>
      <c r="BG88" s="1"/>
      <c r="BH88" s="1"/>
      <c r="BI88" s="1"/>
      <c r="BJ88" s="1"/>
      <c r="BK88" s="1"/>
      <c r="BL88" s="134" t="str">
        <f t="shared" ref="BL88:BL90" si="52">+LEFT(BE95,1)</f>
        <v>2</v>
      </c>
      <c r="BM88" s="134">
        <v>0.05</v>
      </c>
      <c r="BO88" s="1"/>
      <c r="BP88" s="1"/>
    </row>
    <row r="89" spans="1:68" s="18" customFormat="1" ht="15" customHeight="1">
      <c r="C89" s="28">
        <v>1</v>
      </c>
      <c r="D89" s="28" t="s">
        <v>175</v>
      </c>
      <c r="E89" s="409"/>
      <c r="F89" s="410"/>
      <c r="G89" s="410"/>
      <c r="H89" s="410"/>
      <c r="I89" s="410"/>
      <c r="J89" s="410"/>
      <c r="K89" s="411"/>
      <c r="L89" s="29">
        <v>1</v>
      </c>
      <c r="M89" s="47" t="s">
        <v>450</v>
      </c>
      <c r="N89" s="9"/>
      <c r="O89" s="30">
        <v>30</v>
      </c>
      <c r="P89" s="201">
        <v>30</v>
      </c>
      <c r="Q89" s="29">
        <v>16</v>
      </c>
      <c r="R89" s="170">
        <f>+IF(Q89="",0,IF(Q89&lt;=15,(O89/15*2.5),((O89/15*2.5)+((Q89-15)*VLOOKUP(BE89,$BL$87:$BM$90,2,FALSE)))))</f>
        <v>5.08</v>
      </c>
      <c r="S89" s="209">
        <f>+IF(P89="",0,P89/15*1.5)</f>
        <v>3</v>
      </c>
      <c r="T89" s="170">
        <f>+R89+S89</f>
        <v>8.08</v>
      </c>
      <c r="W89" s="19"/>
      <c r="BE89" s="5" t="str">
        <f>+LEFT(M89,1)</f>
        <v>3</v>
      </c>
      <c r="BF89" s="1"/>
      <c r="BG89" s="1"/>
      <c r="BH89" s="1"/>
      <c r="BI89" s="1"/>
      <c r="BJ89" s="1"/>
      <c r="BK89" s="1"/>
      <c r="BL89" s="134" t="str">
        <f t="shared" si="52"/>
        <v>3</v>
      </c>
      <c r="BM89" s="134">
        <v>0.08</v>
      </c>
      <c r="BO89" s="1"/>
      <c r="BP89" s="1"/>
    </row>
    <row r="90" spans="1:68" s="18" customFormat="1">
      <c r="C90" s="28">
        <v>2</v>
      </c>
      <c r="D90" s="28" t="s">
        <v>176</v>
      </c>
      <c r="E90" s="409"/>
      <c r="F90" s="410"/>
      <c r="G90" s="410"/>
      <c r="H90" s="410"/>
      <c r="I90" s="410"/>
      <c r="J90" s="410"/>
      <c r="K90" s="411"/>
      <c r="L90" s="29">
        <v>2</v>
      </c>
      <c r="M90" s="47" t="s">
        <v>444</v>
      </c>
      <c r="N90" s="9"/>
      <c r="O90" s="30">
        <v>45</v>
      </c>
      <c r="P90" s="201"/>
      <c r="Q90" s="29">
        <v>15</v>
      </c>
      <c r="R90" s="170">
        <f t="shared" ref="R90:R93" si="53">+IF(Q90="",0,IF(Q90&lt;=15,(O90/15*2.5),((O90/15*2.5)+((Q90-15)*VLOOKUP(BE90,$BL$87:$BM$90,2,FALSE)))))</f>
        <v>7.5</v>
      </c>
      <c r="S90" s="209">
        <f t="shared" ref="S90:S93" si="54">+IF(P90="",0,P90/15*1.5)</f>
        <v>0</v>
      </c>
      <c r="T90" s="170">
        <f t="shared" ref="T90:T93" si="55">+R90+S90</f>
        <v>7.5</v>
      </c>
      <c r="BE90" s="5" t="str">
        <f>+LEFT(M90,1)</f>
        <v>3</v>
      </c>
      <c r="BF90" s="1"/>
      <c r="BG90" s="1"/>
      <c r="BH90" s="1"/>
      <c r="BI90" s="1"/>
      <c r="BJ90" s="1"/>
      <c r="BK90" s="1"/>
      <c r="BL90" s="134" t="str">
        <f t="shared" si="52"/>
        <v>4</v>
      </c>
      <c r="BM90" s="134">
        <v>0.11</v>
      </c>
      <c r="BO90" s="1"/>
      <c r="BP90" s="1"/>
    </row>
    <row r="91" spans="1:68" s="18" customFormat="1">
      <c r="C91" s="28">
        <v>3</v>
      </c>
      <c r="D91" s="28" t="s">
        <v>177</v>
      </c>
      <c r="E91" s="409"/>
      <c r="F91" s="410"/>
      <c r="G91" s="410"/>
      <c r="H91" s="410"/>
      <c r="I91" s="410"/>
      <c r="J91" s="410"/>
      <c r="K91" s="411"/>
      <c r="L91" s="29">
        <v>3</v>
      </c>
      <c r="M91" s="47" t="s">
        <v>444</v>
      </c>
      <c r="N91" s="9"/>
      <c r="O91" s="30"/>
      <c r="P91" s="201"/>
      <c r="Q91" s="29"/>
      <c r="R91" s="170">
        <f t="shared" si="53"/>
        <v>0</v>
      </c>
      <c r="S91" s="209">
        <f t="shared" si="54"/>
        <v>0</v>
      </c>
      <c r="T91" s="170">
        <f t="shared" si="55"/>
        <v>0</v>
      </c>
      <c r="BE91" s="5" t="str">
        <f t="shared" ref="BE91:BE92" si="56">+LEFT(M91,1)</f>
        <v>3</v>
      </c>
      <c r="BF91" s="1"/>
      <c r="BG91" s="1"/>
      <c r="BH91" s="1"/>
      <c r="BI91" s="1"/>
      <c r="BJ91" s="1"/>
      <c r="BK91" s="1"/>
      <c r="BL91" s="135"/>
      <c r="BM91" s="135"/>
      <c r="BO91" s="1"/>
      <c r="BP91" s="1"/>
    </row>
    <row r="92" spans="1:68" s="18" customFormat="1">
      <c r="C92" s="28">
        <v>4</v>
      </c>
      <c r="D92" s="28" t="s">
        <v>178</v>
      </c>
      <c r="E92" s="409"/>
      <c r="F92" s="410"/>
      <c r="G92" s="410"/>
      <c r="H92" s="410"/>
      <c r="I92" s="410"/>
      <c r="J92" s="410"/>
      <c r="K92" s="411"/>
      <c r="L92" s="29">
        <v>4</v>
      </c>
      <c r="M92" s="47" t="s">
        <v>444</v>
      </c>
      <c r="N92" s="9"/>
      <c r="O92" s="30"/>
      <c r="P92" s="201"/>
      <c r="Q92" s="29"/>
      <c r="R92" s="170">
        <f t="shared" si="53"/>
        <v>0</v>
      </c>
      <c r="S92" s="209">
        <f t="shared" si="54"/>
        <v>0</v>
      </c>
      <c r="T92" s="170">
        <f t="shared" si="55"/>
        <v>0</v>
      </c>
      <c r="BE92" s="5" t="str">
        <f t="shared" si="56"/>
        <v>3</v>
      </c>
      <c r="BF92" s="1"/>
      <c r="BG92" s="1"/>
      <c r="BH92" s="1"/>
      <c r="BI92" s="1"/>
      <c r="BJ92" s="1"/>
      <c r="BK92" s="1"/>
      <c r="BL92" s="135"/>
      <c r="BM92" s="135"/>
      <c r="BO92" s="1"/>
      <c r="BP92" s="1"/>
    </row>
    <row r="93" spans="1:68" s="18" customFormat="1">
      <c r="C93" s="20">
        <v>5</v>
      </c>
      <c r="D93" s="25"/>
      <c r="E93" s="23"/>
      <c r="F93" s="24"/>
      <c r="G93" s="24"/>
      <c r="H93" s="45"/>
      <c r="I93" s="45"/>
      <c r="J93" s="45"/>
      <c r="K93" s="45"/>
      <c r="L93" s="26"/>
      <c r="M93" s="26"/>
      <c r="N93" s="9"/>
      <c r="O93" s="27"/>
      <c r="P93" s="207"/>
      <c r="Q93" s="26"/>
      <c r="R93" s="170">
        <f t="shared" si="53"/>
        <v>0</v>
      </c>
      <c r="S93" s="209">
        <f t="shared" si="54"/>
        <v>0</v>
      </c>
      <c r="T93" s="170">
        <f t="shared" si="55"/>
        <v>0</v>
      </c>
      <c r="BE93" s="1"/>
      <c r="BF93" s="1"/>
      <c r="BG93" s="1"/>
      <c r="BH93" s="1"/>
      <c r="BI93" s="1"/>
      <c r="BJ93" s="1"/>
      <c r="BK93" s="1"/>
      <c r="BL93" s="135"/>
      <c r="BM93" s="135"/>
      <c r="BO93" s="1"/>
      <c r="BP93" s="1"/>
    </row>
    <row r="94" spans="1:68" s="18" customFormat="1" ht="14.25" customHeight="1">
      <c r="C94" s="459" t="s">
        <v>371</v>
      </c>
      <c r="D94" s="460"/>
      <c r="E94" s="460"/>
      <c r="F94" s="460"/>
      <c r="G94" s="460"/>
      <c r="H94" s="460"/>
      <c r="I94" s="460"/>
      <c r="J94" s="460"/>
      <c r="K94" s="460"/>
      <c r="L94" s="460"/>
      <c r="M94" s="460"/>
      <c r="N94" s="460"/>
      <c r="O94" s="460"/>
      <c r="P94" s="460"/>
      <c r="Q94" s="460"/>
      <c r="R94" s="460"/>
      <c r="S94" s="461"/>
      <c r="T94" s="171">
        <f>SUM(T89:T93)</f>
        <v>15.58</v>
      </c>
      <c r="BE94" s="1" t="s">
        <v>454</v>
      </c>
      <c r="BF94" s="1"/>
      <c r="BG94" s="1"/>
      <c r="BH94" s="1"/>
      <c r="BI94" s="1"/>
      <c r="BJ94" s="1"/>
      <c r="BK94" s="1"/>
      <c r="BL94" s="135"/>
      <c r="BM94" s="135"/>
      <c r="BO94" s="1"/>
      <c r="BP94" s="1"/>
    </row>
    <row r="95" spans="1:68" s="18" customFormat="1"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9"/>
      <c r="BD95" s="1"/>
      <c r="BE95" s="1" t="s">
        <v>455</v>
      </c>
      <c r="BF95" s="1"/>
      <c r="BG95" s="1"/>
      <c r="BH95" s="1"/>
      <c r="BI95" s="1"/>
      <c r="BJ95" s="1"/>
      <c r="BK95" s="1"/>
      <c r="BL95" s="1"/>
      <c r="BM95" s="1"/>
    </row>
    <row r="96" spans="1:68">
      <c r="A96" s="1" t="s">
        <v>203</v>
      </c>
      <c r="BE96" s="1" t="s">
        <v>444</v>
      </c>
    </row>
    <row r="97" spans="2:57">
      <c r="B97" s="1" t="s">
        <v>205</v>
      </c>
      <c r="BE97" s="1" t="s">
        <v>456</v>
      </c>
    </row>
    <row r="98" spans="2:57" ht="16.5" customHeight="1">
      <c r="C98" s="332" t="s">
        <v>10</v>
      </c>
      <c r="D98" s="358" t="s">
        <v>204</v>
      </c>
      <c r="E98" s="359"/>
      <c r="F98" s="359"/>
      <c r="G98" s="360"/>
      <c r="H98" s="368" t="s">
        <v>193</v>
      </c>
      <c r="I98" s="369" t="s">
        <v>192</v>
      </c>
      <c r="J98" s="415" t="s">
        <v>197</v>
      </c>
      <c r="K98" s="416"/>
      <c r="L98" s="416"/>
      <c r="M98" s="416"/>
      <c r="N98" s="416"/>
      <c r="O98" s="416"/>
      <c r="P98" s="416"/>
      <c r="Q98" s="417"/>
      <c r="R98" s="358" t="s">
        <v>198</v>
      </c>
      <c r="S98" s="359"/>
      <c r="T98" s="359"/>
      <c r="U98" s="359"/>
      <c r="V98" s="360"/>
      <c r="W98" s="369" t="s">
        <v>191</v>
      </c>
      <c r="X98" s="400" t="s">
        <v>206</v>
      </c>
    </row>
    <row r="99" spans="2:57" ht="16.5" customHeight="1">
      <c r="C99" s="333"/>
      <c r="D99" s="365"/>
      <c r="E99" s="366"/>
      <c r="F99" s="366"/>
      <c r="G99" s="367"/>
      <c r="H99" s="368"/>
      <c r="I99" s="369"/>
      <c r="J99" s="401" t="s">
        <v>194</v>
      </c>
      <c r="K99" s="402"/>
      <c r="L99" s="402"/>
      <c r="M99" s="402"/>
      <c r="N99" s="402"/>
      <c r="O99" s="402"/>
      <c r="P99" s="402"/>
      <c r="Q99" s="403"/>
      <c r="R99" s="361"/>
      <c r="S99" s="362"/>
      <c r="T99" s="362"/>
      <c r="U99" s="362"/>
      <c r="V99" s="363"/>
      <c r="W99" s="369"/>
      <c r="X99" s="400"/>
    </row>
    <row r="100" spans="2:57" ht="29.25" customHeight="1">
      <c r="C100" s="333"/>
      <c r="D100" s="365"/>
      <c r="E100" s="366"/>
      <c r="F100" s="366"/>
      <c r="G100" s="367"/>
      <c r="H100" s="368"/>
      <c r="I100" s="369"/>
      <c r="J100" s="347" t="s">
        <v>160</v>
      </c>
      <c r="K100" s="347" t="s">
        <v>190</v>
      </c>
      <c r="L100" s="347" t="s">
        <v>189</v>
      </c>
      <c r="M100" s="347" t="s">
        <v>188</v>
      </c>
      <c r="N100" s="347" t="s">
        <v>187</v>
      </c>
      <c r="O100" s="347" t="s">
        <v>186</v>
      </c>
      <c r="P100" s="347" t="s">
        <v>185</v>
      </c>
      <c r="Q100" s="347" t="s">
        <v>184</v>
      </c>
      <c r="R100" s="361" t="s">
        <v>23</v>
      </c>
      <c r="S100" s="362"/>
      <c r="T100" s="362"/>
      <c r="U100" s="362"/>
      <c r="V100" s="363"/>
      <c r="W100" s="369"/>
      <c r="X100" s="400"/>
    </row>
    <row r="101" spans="2:57" ht="29.25" customHeight="1">
      <c r="C101" s="364"/>
      <c r="D101" s="361"/>
      <c r="E101" s="362"/>
      <c r="F101" s="362"/>
      <c r="G101" s="363"/>
      <c r="H101" s="368"/>
      <c r="I101" s="369"/>
      <c r="J101" s="348"/>
      <c r="K101" s="348"/>
      <c r="L101" s="348"/>
      <c r="M101" s="348"/>
      <c r="N101" s="348"/>
      <c r="O101" s="348"/>
      <c r="P101" s="348"/>
      <c r="Q101" s="348"/>
      <c r="R101" s="11" t="s">
        <v>22</v>
      </c>
      <c r="S101" s="11" t="s">
        <v>21</v>
      </c>
      <c r="T101" s="11" t="s">
        <v>20</v>
      </c>
      <c r="U101" s="11" t="s">
        <v>19</v>
      </c>
      <c r="V101" s="11" t="s">
        <v>18</v>
      </c>
      <c r="W101" s="369"/>
      <c r="X101" s="400"/>
    </row>
    <row r="102" spans="2:57">
      <c r="C102" s="5">
        <v>1</v>
      </c>
      <c r="D102" s="350"/>
      <c r="E102" s="351"/>
      <c r="F102" s="351"/>
      <c r="G102" s="352"/>
      <c r="H102" s="5"/>
      <c r="I102" s="5"/>
      <c r="J102" s="9"/>
      <c r="K102" s="9"/>
      <c r="L102" s="9"/>
      <c r="M102" s="9"/>
      <c r="N102" s="9"/>
      <c r="O102" s="9"/>
      <c r="P102" s="9"/>
      <c r="Q102" s="9"/>
      <c r="R102" s="9"/>
      <c r="S102" s="9" t="s">
        <v>65</v>
      </c>
      <c r="T102" s="9"/>
      <c r="U102" s="9"/>
      <c r="V102" s="9"/>
      <c r="W102" s="9"/>
      <c r="X102" s="192">
        <f t="shared" ref="X102:X107" si="57">IF(J102&lt;&gt;"",12,IF(K102&lt;&gt;"",10,IF(L102&lt;&gt;"",8,IF(M102&lt;&gt;"",7,IF(N102&lt;&gt;"",5,IF(O102&lt;&gt;"",3,IF(P102&lt;&gt;"",2,IF(Q102&lt;&gt;"",1,IF(R102&lt;&gt;"",7,IF(S102&lt;&gt;"",5,IF(T102&lt;&gt;"",3,IF(U102&lt;&gt;"",2,IF(V102&lt;&gt;"",1,IF(W102&lt;&gt;"",3,0))))))))))))))</f>
        <v>5</v>
      </c>
    </row>
    <row r="103" spans="2:57">
      <c r="C103" s="5">
        <v>2</v>
      </c>
      <c r="D103" s="350"/>
      <c r="E103" s="351"/>
      <c r="F103" s="351"/>
      <c r="G103" s="352"/>
      <c r="H103" s="5"/>
      <c r="I103" s="5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 t="s">
        <v>65</v>
      </c>
      <c r="U103" s="9"/>
      <c r="V103" s="9"/>
      <c r="W103" s="9"/>
      <c r="X103" s="192">
        <f t="shared" si="57"/>
        <v>3</v>
      </c>
    </row>
    <row r="104" spans="2:57">
      <c r="C104" s="5">
        <v>3</v>
      </c>
      <c r="D104" s="350"/>
      <c r="E104" s="351"/>
      <c r="F104" s="351"/>
      <c r="G104" s="352"/>
      <c r="H104" s="5"/>
      <c r="I104" s="5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 t="s">
        <v>65</v>
      </c>
      <c r="V104" s="9"/>
      <c r="W104" s="9"/>
      <c r="X104" s="192">
        <f t="shared" si="57"/>
        <v>2</v>
      </c>
    </row>
    <row r="105" spans="2:57">
      <c r="C105" s="5">
        <v>4</v>
      </c>
      <c r="D105" s="350"/>
      <c r="E105" s="351"/>
      <c r="F105" s="351"/>
      <c r="G105" s="352"/>
      <c r="H105" s="5"/>
      <c r="I105" s="5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 t="s">
        <v>65</v>
      </c>
      <c r="W105" s="9"/>
      <c r="X105" s="192">
        <f t="shared" si="57"/>
        <v>1</v>
      </c>
    </row>
    <row r="106" spans="2:57">
      <c r="C106" s="5">
        <v>5</v>
      </c>
      <c r="D106" s="350"/>
      <c r="E106" s="351"/>
      <c r="F106" s="351"/>
      <c r="G106" s="352"/>
      <c r="H106" s="5"/>
      <c r="I106" s="5"/>
      <c r="J106" s="9" t="s">
        <v>65</v>
      </c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92">
        <f t="shared" si="57"/>
        <v>12</v>
      </c>
    </row>
    <row r="107" spans="2:57" ht="15">
      <c r="C107" s="5">
        <v>6</v>
      </c>
      <c r="D107" s="350"/>
      <c r="E107" s="351"/>
      <c r="F107" s="351"/>
      <c r="G107" s="352"/>
      <c r="H107" s="5"/>
      <c r="I107" s="5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 t="s">
        <v>65</v>
      </c>
      <c r="X107" s="192">
        <f t="shared" si="57"/>
        <v>3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</row>
    <row r="108" spans="2:57" ht="15">
      <c r="C108" s="386" t="s">
        <v>246</v>
      </c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388"/>
      <c r="X108" s="184">
        <f>SUM(X102:X107)</f>
        <v>26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</row>
    <row r="109" spans="2:57" ht="15"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</row>
    <row r="110" spans="2:57">
      <c r="B110" s="1" t="s">
        <v>207</v>
      </c>
    </row>
    <row r="111" spans="2:57" ht="27.75" customHeight="1">
      <c r="C111" s="332" t="s">
        <v>10</v>
      </c>
      <c r="D111" s="358" t="s">
        <v>35</v>
      </c>
      <c r="E111" s="359"/>
      <c r="F111" s="359"/>
      <c r="G111" s="359"/>
      <c r="H111" s="359"/>
      <c r="I111" s="359"/>
      <c r="J111" s="359"/>
      <c r="K111" s="358" t="s">
        <v>503</v>
      </c>
      <c r="L111" s="360"/>
      <c r="M111" s="394" t="s">
        <v>216</v>
      </c>
      <c r="N111" s="395"/>
      <c r="O111" s="395"/>
      <c r="P111" s="395"/>
      <c r="Q111" s="395"/>
      <c r="R111" s="395"/>
      <c r="S111" s="395"/>
      <c r="T111" s="395"/>
      <c r="U111" s="395"/>
      <c r="V111" s="395"/>
      <c r="W111" s="396"/>
      <c r="X111" s="349" t="s">
        <v>206</v>
      </c>
    </row>
    <row r="112" spans="2:57" ht="80.45" customHeight="1">
      <c r="C112" s="333"/>
      <c r="D112" s="361"/>
      <c r="E112" s="362"/>
      <c r="F112" s="362"/>
      <c r="G112" s="362"/>
      <c r="H112" s="362"/>
      <c r="I112" s="362"/>
      <c r="J112" s="362"/>
      <c r="K112" s="361"/>
      <c r="L112" s="363"/>
      <c r="M112" s="397" t="s">
        <v>501</v>
      </c>
      <c r="N112" s="398"/>
      <c r="O112" s="185" t="s">
        <v>513</v>
      </c>
      <c r="P112" s="389" t="s">
        <v>217</v>
      </c>
      <c r="Q112" s="399"/>
      <c r="R112" s="178" t="s">
        <v>505</v>
      </c>
      <c r="S112" s="389" t="s">
        <v>224</v>
      </c>
      <c r="T112" s="390"/>
      <c r="U112" s="177" t="s">
        <v>505</v>
      </c>
      <c r="V112" s="182" t="s">
        <v>228</v>
      </c>
      <c r="W112" s="177" t="s">
        <v>505</v>
      </c>
      <c r="X112" s="349"/>
      <c r="BB112" s="1" t="s">
        <v>509</v>
      </c>
      <c r="BC112" s="1" t="s">
        <v>510</v>
      </c>
    </row>
    <row r="113" spans="1:56" ht="12.75" customHeight="1">
      <c r="C113" s="5">
        <v>1</v>
      </c>
      <c r="D113" s="380" t="s">
        <v>504</v>
      </c>
      <c r="E113" s="393"/>
      <c r="F113" s="393"/>
      <c r="G113" s="393"/>
      <c r="H113" s="393"/>
      <c r="I113" s="393"/>
      <c r="J113" s="393"/>
      <c r="K113" s="391">
        <v>243536</v>
      </c>
      <c r="L113" s="392"/>
      <c r="M113" s="376" t="s">
        <v>208</v>
      </c>
      <c r="N113" s="377"/>
      <c r="O113" s="132"/>
      <c r="P113" s="378" t="s">
        <v>218</v>
      </c>
      <c r="Q113" s="379"/>
      <c r="R113" s="179">
        <f>+IF(P113&lt;&gt;"",2,0)</f>
        <v>2</v>
      </c>
      <c r="S113" s="181"/>
      <c r="T113" s="180"/>
      <c r="U113" s="141"/>
      <c r="V113" s="181"/>
      <c r="W113" s="141">
        <f>IF(V113="",0,IF(V113="จดอนุสิทธิบัตร",3,IF(V113="จดสิทธิบัตร",5,IF(V113="รางวัลระดับชาติ",3,5))))</f>
        <v>0</v>
      </c>
      <c r="X113" s="183">
        <f>+O113+R113+U113+W113</f>
        <v>2</v>
      </c>
      <c r="BB113" s="1">
        <f>IF(S113="",0,IF(T113="อื่นๆ",0,IF(S113="ชาติ",3,5)))</f>
        <v>0</v>
      </c>
      <c r="BC113" s="1">
        <f>IF(T113="",0,IF(T113="อันดับแรก/บรรณกิจ",0,IF(S113="ชาติ",2,4)))</f>
        <v>0</v>
      </c>
    </row>
    <row r="114" spans="1:56" ht="15">
      <c r="C114" s="5">
        <v>2</v>
      </c>
      <c r="D114" s="380" t="s">
        <v>514</v>
      </c>
      <c r="E114" s="381"/>
      <c r="F114" s="381"/>
      <c r="G114" s="381"/>
      <c r="H114" s="381"/>
      <c r="I114" s="381"/>
      <c r="J114" s="381"/>
      <c r="K114" s="350"/>
      <c r="L114" s="352"/>
      <c r="M114" s="376"/>
      <c r="N114" s="377"/>
      <c r="O114" s="132"/>
      <c r="P114" s="378"/>
      <c r="Q114" s="379"/>
      <c r="R114" s="179">
        <f t="shared" ref="R114:R118" si="58">+IF(P114&lt;&gt;"",2,0)</f>
        <v>0</v>
      </c>
      <c r="S114" s="181" t="s">
        <v>508</v>
      </c>
      <c r="T114" s="180" t="s">
        <v>506</v>
      </c>
      <c r="U114" s="141">
        <f t="shared" ref="U114:U118" si="59">SUM(BB114:BC114)</f>
        <v>5</v>
      </c>
      <c r="V114" s="181"/>
      <c r="W114" s="141">
        <f t="shared" ref="W114:W118" si="60">IF(V114="",0,IF(V114="จดอนุสิทธิบัตร",3,IF(V114="จดสิทธิบัตร",5,IF(V114="รางวัลระดับชาติ",3,5))))</f>
        <v>0</v>
      </c>
      <c r="X114" s="183">
        <f t="shared" ref="X114:X118" si="61">+O114+R114+U114+W114</f>
        <v>5</v>
      </c>
      <c r="BB114" s="1">
        <f t="shared" ref="BB114:BB118" si="62">IF(S114="",0,IF(T114="อื่นๆ",0,IF(S114="ชาติ",3,5)))</f>
        <v>5</v>
      </c>
      <c r="BC114" s="1">
        <f t="shared" ref="BC114:BC118" si="63">IF(T114="",0,IF(T114="อันดับแรก/บรรณกิจ",0,IF(S114="ชาติ",2,4)))</f>
        <v>0</v>
      </c>
    </row>
    <row r="115" spans="1:56" ht="15">
      <c r="C115" s="5"/>
      <c r="D115" s="380" t="s">
        <v>514</v>
      </c>
      <c r="E115" s="381"/>
      <c r="F115" s="381"/>
      <c r="G115" s="381"/>
      <c r="H115" s="381"/>
      <c r="I115" s="381"/>
      <c r="J115" s="381"/>
      <c r="K115" s="350"/>
      <c r="L115" s="352"/>
      <c r="M115" s="376"/>
      <c r="N115" s="377"/>
      <c r="O115" s="132"/>
      <c r="P115" s="378"/>
      <c r="Q115" s="379"/>
      <c r="R115" s="179">
        <f t="shared" si="58"/>
        <v>0</v>
      </c>
      <c r="S115" s="181" t="s">
        <v>507</v>
      </c>
      <c r="T115" s="180" t="s">
        <v>511</v>
      </c>
      <c r="U115" s="141">
        <f t="shared" si="59"/>
        <v>2</v>
      </c>
      <c r="V115" s="181"/>
      <c r="W115" s="141">
        <f t="shared" si="60"/>
        <v>0</v>
      </c>
      <c r="X115" s="183">
        <f t="shared" si="61"/>
        <v>2</v>
      </c>
      <c r="BB115" s="1">
        <f t="shared" si="62"/>
        <v>0</v>
      </c>
      <c r="BC115" s="1">
        <f t="shared" si="63"/>
        <v>2</v>
      </c>
    </row>
    <row r="116" spans="1:56" ht="15">
      <c r="C116" s="5"/>
      <c r="D116" s="380"/>
      <c r="E116" s="381"/>
      <c r="F116" s="381"/>
      <c r="G116" s="381"/>
      <c r="H116" s="381"/>
      <c r="I116" s="381"/>
      <c r="J116" s="381"/>
      <c r="K116" s="350"/>
      <c r="L116" s="352"/>
      <c r="M116" s="376"/>
      <c r="N116" s="377"/>
      <c r="O116" s="132"/>
      <c r="P116" s="378"/>
      <c r="Q116" s="379"/>
      <c r="R116" s="179">
        <f t="shared" si="58"/>
        <v>0</v>
      </c>
      <c r="S116" s="181"/>
      <c r="T116" s="180"/>
      <c r="U116" s="141"/>
      <c r="V116" s="181" t="s">
        <v>512</v>
      </c>
      <c r="W116" s="141">
        <f t="shared" si="60"/>
        <v>3</v>
      </c>
      <c r="X116" s="183">
        <f t="shared" si="61"/>
        <v>3</v>
      </c>
      <c r="BB116" s="1">
        <f t="shared" si="62"/>
        <v>0</v>
      </c>
      <c r="BC116" s="1">
        <f t="shared" si="63"/>
        <v>0</v>
      </c>
    </row>
    <row r="117" spans="1:56" ht="15">
      <c r="C117" s="5"/>
      <c r="D117" s="380"/>
      <c r="E117" s="381"/>
      <c r="F117" s="381"/>
      <c r="G117" s="381"/>
      <c r="H117" s="381"/>
      <c r="I117" s="381"/>
      <c r="J117" s="381"/>
      <c r="K117" s="350"/>
      <c r="L117" s="352"/>
      <c r="M117" s="376"/>
      <c r="N117" s="377"/>
      <c r="O117" s="132"/>
      <c r="P117" s="378"/>
      <c r="Q117" s="379"/>
      <c r="R117" s="179">
        <f t="shared" si="58"/>
        <v>0</v>
      </c>
      <c r="S117" s="181"/>
      <c r="T117" s="180"/>
      <c r="U117" s="141">
        <f t="shared" si="59"/>
        <v>0</v>
      </c>
      <c r="V117" s="181" t="s">
        <v>231</v>
      </c>
      <c r="W117" s="141">
        <f t="shared" si="60"/>
        <v>5</v>
      </c>
      <c r="X117" s="183">
        <f t="shared" si="61"/>
        <v>5</v>
      </c>
      <c r="BB117" s="1">
        <f t="shared" si="62"/>
        <v>0</v>
      </c>
      <c r="BC117" s="1">
        <f t="shared" si="63"/>
        <v>0</v>
      </c>
    </row>
    <row r="118" spans="1:56" ht="15">
      <c r="C118" s="5"/>
      <c r="D118" s="380"/>
      <c r="E118" s="381"/>
      <c r="F118" s="381"/>
      <c r="G118" s="381"/>
      <c r="H118" s="381"/>
      <c r="I118" s="381"/>
      <c r="J118" s="381"/>
      <c r="K118" s="350"/>
      <c r="L118" s="352"/>
      <c r="M118" s="376"/>
      <c r="N118" s="377"/>
      <c r="O118" s="132"/>
      <c r="P118" s="378"/>
      <c r="Q118" s="379"/>
      <c r="R118" s="179">
        <f t="shared" si="58"/>
        <v>0</v>
      </c>
      <c r="S118" s="181"/>
      <c r="T118" s="180"/>
      <c r="U118" s="141">
        <f t="shared" si="59"/>
        <v>0</v>
      </c>
      <c r="V118" s="181"/>
      <c r="W118" s="141">
        <f t="shared" si="60"/>
        <v>0</v>
      </c>
      <c r="X118" s="183">
        <f t="shared" si="61"/>
        <v>0</v>
      </c>
      <c r="BB118" s="1">
        <f t="shared" si="62"/>
        <v>0</v>
      </c>
      <c r="BC118" s="1">
        <f t="shared" si="63"/>
        <v>0</v>
      </c>
    </row>
    <row r="119" spans="1:56">
      <c r="C119" s="386" t="s">
        <v>36</v>
      </c>
      <c r="D119" s="387"/>
      <c r="E119" s="387"/>
      <c r="F119" s="387"/>
      <c r="G119" s="387"/>
      <c r="H119" s="387"/>
      <c r="I119" s="387"/>
      <c r="J119" s="387"/>
      <c r="K119" s="387"/>
      <c r="L119" s="387"/>
      <c r="M119" s="387"/>
      <c r="N119" s="387"/>
      <c r="O119" s="387"/>
      <c r="P119" s="387"/>
      <c r="Q119" s="387"/>
      <c r="R119" s="387"/>
      <c r="S119" s="387"/>
      <c r="T119" s="387"/>
      <c r="U119" s="387"/>
      <c r="V119" s="387"/>
      <c r="W119" s="388"/>
      <c r="X119" s="184">
        <f>SUM(X113:X118)</f>
        <v>17</v>
      </c>
    </row>
    <row r="120" spans="1:56" s="18" customFormat="1">
      <c r="C120" s="174" t="s">
        <v>502</v>
      </c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39"/>
    </row>
    <row r="122" spans="1:56">
      <c r="A122" s="1" t="s">
        <v>37</v>
      </c>
    </row>
    <row r="124" spans="1:56">
      <c r="B124" s="1" t="s">
        <v>515</v>
      </c>
    </row>
    <row r="125" spans="1:56" ht="39" customHeight="1">
      <c r="C125" s="332" t="s">
        <v>10</v>
      </c>
      <c r="D125" s="358" t="s">
        <v>38</v>
      </c>
      <c r="E125" s="359"/>
      <c r="F125" s="359"/>
      <c r="G125" s="359"/>
      <c r="H125" s="359"/>
      <c r="I125" s="360"/>
      <c r="J125" s="384" t="s">
        <v>372</v>
      </c>
      <c r="K125" s="539" t="s">
        <v>25</v>
      </c>
      <c r="L125" s="540"/>
      <c r="M125" s="540"/>
      <c r="N125" s="540"/>
      <c r="O125" s="540"/>
      <c r="P125" s="540"/>
      <c r="Q125" s="540"/>
      <c r="R125" s="540"/>
      <c r="S125" s="540"/>
      <c r="T125" s="540"/>
      <c r="U125" s="541"/>
      <c r="V125" s="382" t="s">
        <v>206</v>
      </c>
      <c r="BC125" s="1" t="s">
        <v>516</v>
      </c>
      <c r="BD125" s="1">
        <v>2</v>
      </c>
    </row>
    <row r="126" spans="1:56" ht="39" customHeight="1">
      <c r="C126" s="333"/>
      <c r="D126" s="361"/>
      <c r="E126" s="362"/>
      <c r="F126" s="362"/>
      <c r="G126" s="362"/>
      <c r="H126" s="362"/>
      <c r="I126" s="363"/>
      <c r="J126" s="385"/>
      <c r="K126" s="539" t="s">
        <v>522</v>
      </c>
      <c r="L126" s="540"/>
      <c r="M126" s="540"/>
      <c r="N126" s="540"/>
      <c r="O126" s="540"/>
      <c r="P126" s="540"/>
      <c r="Q126" s="541"/>
      <c r="R126" s="187" t="s">
        <v>505</v>
      </c>
      <c r="S126" s="188" t="s">
        <v>523</v>
      </c>
      <c r="T126" s="188" t="s">
        <v>525</v>
      </c>
      <c r="U126" s="189" t="s">
        <v>82</v>
      </c>
      <c r="V126" s="383"/>
      <c r="BC126" s="1" t="s">
        <v>517</v>
      </c>
      <c r="BD126" s="1">
        <v>1</v>
      </c>
    </row>
    <row r="127" spans="1:56">
      <c r="C127" s="5">
        <v>1</v>
      </c>
      <c r="D127" s="37" t="s">
        <v>521</v>
      </c>
      <c r="E127" s="34"/>
      <c r="F127" s="34"/>
      <c r="G127" s="34"/>
      <c r="H127" s="34"/>
      <c r="I127" s="176"/>
      <c r="J127" s="5">
        <v>1</v>
      </c>
      <c r="K127" s="537" t="s">
        <v>516</v>
      </c>
      <c r="L127" s="538"/>
      <c r="M127" s="538"/>
      <c r="N127" s="538"/>
      <c r="O127" s="538"/>
      <c r="P127" s="538"/>
      <c r="Q127" s="538"/>
      <c r="R127" s="179">
        <f t="shared" ref="R127:R136" si="64">IF(K127="",0,J127*(VLOOKUP(K127,$BC$125:$BD$136,2,FALSE)))</f>
        <v>2</v>
      </c>
      <c r="S127" s="186"/>
      <c r="T127" s="190"/>
      <c r="U127" s="191"/>
      <c r="V127" s="184">
        <f t="shared" ref="V127:V136" si="65">+R127+U127</f>
        <v>2</v>
      </c>
      <c r="BC127" s="1" t="s">
        <v>312</v>
      </c>
      <c r="BD127" s="1">
        <v>0.2</v>
      </c>
    </row>
    <row r="128" spans="1:56">
      <c r="C128" s="5">
        <v>2</v>
      </c>
      <c r="D128" s="37"/>
      <c r="E128" s="34"/>
      <c r="F128" s="34"/>
      <c r="G128" s="34"/>
      <c r="H128" s="34"/>
      <c r="I128" s="176"/>
      <c r="J128" s="5">
        <v>1</v>
      </c>
      <c r="K128" s="537" t="s">
        <v>517</v>
      </c>
      <c r="L128" s="538"/>
      <c r="M128" s="538"/>
      <c r="N128" s="538"/>
      <c r="O128" s="538"/>
      <c r="P128" s="538"/>
      <c r="Q128" s="538"/>
      <c r="R128" s="179">
        <f t="shared" si="64"/>
        <v>1</v>
      </c>
      <c r="S128" s="186"/>
      <c r="T128" s="190"/>
      <c r="U128" s="191"/>
      <c r="V128" s="184">
        <f t="shared" si="65"/>
        <v>1</v>
      </c>
      <c r="BC128" s="1" t="s">
        <v>313</v>
      </c>
      <c r="BD128" s="1">
        <v>0.3</v>
      </c>
    </row>
    <row r="129" spans="2:56">
      <c r="C129" s="5">
        <v>3</v>
      </c>
      <c r="D129" s="37"/>
      <c r="E129" s="34"/>
      <c r="F129" s="34"/>
      <c r="G129" s="34"/>
      <c r="H129" s="34"/>
      <c r="I129" s="176"/>
      <c r="J129" s="5">
        <v>3</v>
      </c>
      <c r="K129" s="537" t="s">
        <v>520</v>
      </c>
      <c r="L129" s="538"/>
      <c r="M129" s="538"/>
      <c r="N129" s="538"/>
      <c r="O129" s="538"/>
      <c r="P129" s="538"/>
      <c r="Q129" s="538"/>
      <c r="R129" s="179">
        <f t="shared" si="64"/>
        <v>9</v>
      </c>
      <c r="S129" s="186"/>
      <c r="T129" s="190"/>
      <c r="U129" s="191"/>
      <c r="V129" s="184">
        <f t="shared" si="65"/>
        <v>9</v>
      </c>
      <c r="BC129" s="1" t="s">
        <v>518</v>
      </c>
      <c r="BD129" s="1">
        <v>0.5</v>
      </c>
    </row>
    <row r="130" spans="2:56">
      <c r="C130" s="5">
        <v>4</v>
      </c>
      <c r="D130" s="37"/>
      <c r="E130" s="34"/>
      <c r="F130" s="34"/>
      <c r="G130" s="34"/>
      <c r="H130" s="34"/>
      <c r="I130" s="176"/>
      <c r="J130" s="5">
        <v>1</v>
      </c>
      <c r="K130" s="537"/>
      <c r="L130" s="538"/>
      <c r="M130" s="538"/>
      <c r="N130" s="538"/>
      <c r="O130" s="538"/>
      <c r="P130" s="538"/>
      <c r="Q130" s="538"/>
      <c r="R130" s="179">
        <f t="shared" si="64"/>
        <v>0</v>
      </c>
      <c r="S130" s="186" t="s">
        <v>65</v>
      </c>
      <c r="T130" s="190" t="s">
        <v>526</v>
      </c>
      <c r="U130" s="191">
        <v>0.5</v>
      </c>
      <c r="V130" s="184">
        <f t="shared" si="65"/>
        <v>0.5</v>
      </c>
      <c r="BC130" s="1" t="s">
        <v>519</v>
      </c>
      <c r="BD130" s="1">
        <v>0.6</v>
      </c>
    </row>
    <row r="131" spans="2:56">
      <c r="C131" s="5">
        <v>5</v>
      </c>
      <c r="D131" s="37"/>
      <c r="E131" s="34"/>
      <c r="F131" s="34"/>
      <c r="G131" s="34"/>
      <c r="H131" s="34"/>
      <c r="I131" s="176"/>
      <c r="J131" s="5">
        <v>1</v>
      </c>
      <c r="K131" s="537"/>
      <c r="L131" s="538"/>
      <c r="M131" s="538"/>
      <c r="N131" s="538"/>
      <c r="O131" s="538"/>
      <c r="P131" s="538"/>
      <c r="Q131" s="538"/>
      <c r="R131" s="179">
        <f t="shared" si="64"/>
        <v>0</v>
      </c>
      <c r="S131" s="186"/>
      <c r="T131" s="190"/>
      <c r="U131" s="191"/>
      <c r="V131" s="184">
        <f t="shared" si="65"/>
        <v>0</v>
      </c>
      <c r="BC131" s="1" t="s">
        <v>58</v>
      </c>
      <c r="BD131" s="1">
        <v>1</v>
      </c>
    </row>
    <row r="132" spans="2:56">
      <c r="C132" s="5">
        <v>6</v>
      </c>
      <c r="D132" s="37"/>
      <c r="E132" s="34"/>
      <c r="F132" s="34"/>
      <c r="G132" s="34"/>
      <c r="H132" s="34"/>
      <c r="I132" s="176"/>
      <c r="J132" s="5">
        <v>1</v>
      </c>
      <c r="K132" s="537"/>
      <c r="L132" s="538"/>
      <c r="M132" s="538"/>
      <c r="N132" s="538"/>
      <c r="O132" s="538"/>
      <c r="P132" s="538"/>
      <c r="Q132" s="538"/>
      <c r="R132" s="179">
        <f t="shared" si="64"/>
        <v>0</v>
      </c>
      <c r="S132" s="186"/>
      <c r="T132" s="190"/>
      <c r="U132" s="191"/>
      <c r="V132" s="184">
        <f t="shared" si="65"/>
        <v>0</v>
      </c>
      <c r="BC132" s="1" t="s">
        <v>319</v>
      </c>
      <c r="BD132" s="1">
        <v>5</v>
      </c>
    </row>
    <row r="133" spans="2:56">
      <c r="C133" s="5">
        <v>7</v>
      </c>
      <c r="D133" s="37"/>
      <c r="E133" s="34"/>
      <c r="F133" s="34"/>
      <c r="G133" s="34"/>
      <c r="H133" s="34"/>
      <c r="I133" s="176"/>
      <c r="J133" s="5">
        <v>1</v>
      </c>
      <c r="K133" s="537"/>
      <c r="L133" s="538"/>
      <c r="M133" s="538"/>
      <c r="N133" s="538"/>
      <c r="O133" s="538"/>
      <c r="P133" s="538"/>
      <c r="Q133" s="538"/>
      <c r="R133" s="179">
        <f t="shared" si="64"/>
        <v>0</v>
      </c>
      <c r="S133" s="186"/>
      <c r="T133" s="190"/>
      <c r="U133" s="191"/>
      <c r="V133" s="184">
        <f t="shared" si="65"/>
        <v>0</v>
      </c>
      <c r="BC133" s="1" t="s">
        <v>520</v>
      </c>
      <c r="BD133" s="1">
        <v>3</v>
      </c>
    </row>
    <row r="134" spans="2:56">
      <c r="C134" s="5">
        <v>8</v>
      </c>
      <c r="D134" s="37"/>
      <c r="E134" s="34"/>
      <c r="F134" s="34"/>
      <c r="G134" s="34"/>
      <c r="H134" s="34"/>
      <c r="I134" s="176"/>
      <c r="J134" s="5">
        <v>1</v>
      </c>
      <c r="K134" s="537"/>
      <c r="L134" s="538"/>
      <c r="M134" s="538"/>
      <c r="N134" s="538"/>
      <c r="O134" s="538"/>
      <c r="P134" s="538"/>
      <c r="Q134" s="538"/>
      <c r="R134" s="179">
        <f t="shared" si="64"/>
        <v>0</v>
      </c>
      <c r="S134" s="186"/>
      <c r="T134" s="190"/>
      <c r="U134" s="191"/>
      <c r="V134" s="184">
        <f t="shared" si="65"/>
        <v>0</v>
      </c>
      <c r="BC134" s="1" t="s">
        <v>320</v>
      </c>
      <c r="BD134" s="1">
        <v>0.15</v>
      </c>
    </row>
    <row r="135" spans="2:56">
      <c r="C135" s="5">
        <v>9</v>
      </c>
      <c r="D135" s="37"/>
      <c r="E135" s="34"/>
      <c r="F135" s="34"/>
      <c r="G135" s="34"/>
      <c r="H135" s="34"/>
      <c r="I135" s="176"/>
      <c r="J135" s="5">
        <v>1</v>
      </c>
      <c r="K135" s="537"/>
      <c r="L135" s="538"/>
      <c r="M135" s="538"/>
      <c r="N135" s="538"/>
      <c r="O135" s="538"/>
      <c r="P135" s="538"/>
      <c r="Q135" s="538"/>
      <c r="R135" s="179">
        <f t="shared" si="64"/>
        <v>0</v>
      </c>
      <c r="S135" s="186"/>
      <c r="T135" s="190"/>
      <c r="U135" s="191"/>
      <c r="V135" s="184">
        <f t="shared" si="65"/>
        <v>0</v>
      </c>
      <c r="BC135" s="1" t="s">
        <v>321</v>
      </c>
      <c r="BD135" s="1">
        <v>0.3</v>
      </c>
    </row>
    <row r="136" spans="2:56">
      <c r="C136" s="5">
        <v>10</v>
      </c>
      <c r="D136" s="37"/>
      <c r="E136" s="34"/>
      <c r="F136" s="34"/>
      <c r="G136" s="34"/>
      <c r="H136" s="34"/>
      <c r="I136" s="176"/>
      <c r="J136" s="5"/>
      <c r="K136" s="537"/>
      <c r="L136" s="538"/>
      <c r="M136" s="538"/>
      <c r="N136" s="538"/>
      <c r="O136" s="538"/>
      <c r="P136" s="538"/>
      <c r="Q136" s="538"/>
      <c r="R136" s="179">
        <f t="shared" si="64"/>
        <v>0</v>
      </c>
      <c r="S136" s="186"/>
      <c r="T136" s="190"/>
      <c r="U136" s="191"/>
      <c r="V136" s="184">
        <f t="shared" si="65"/>
        <v>0</v>
      </c>
      <c r="BC136" s="1" t="s">
        <v>60</v>
      </c>
    </row>
    <row r="137" spans="2:56">
      <c r="C137" s="386" t="s">
        <v>39</v>
      </c>
      <c r="D137" s="387"/>
      <c r="E137" s="387"/>
      <c r="F137" s="387"/>
      <c r="G137" s="387"/>
      <c r="H137" s="387"/>
      <c r="I137" s="387"/>
      <c r="J137" s="387"/>
      <c r="K137" s="387"/>
      <c r="L137" s="387"/>
      <c r="M137" s="387"/>
      <c r="N137" s="387"/>
      <c r="O137" s="387"/>
      <c r="P137" s="387"/>
      <c r="Q137" s="387"/>
      <c r="R137" s="387"/>
      <c r="S137" s="387"/>
      <c r="T137" s="387"/>
      <c r="U137" s="388"/>
      <c r="V137" s="184">
        <f>SUM(V127:V136)</f>
        <v>12.5</v>
      </c>
    </row>
    <row r="138" spans="2:56">
      <c r="C138" s="174" t="s">
        <v>524</v>
      </c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</row>
    <row r="140" spans="2:56" s="42" customFormat="1">
      <c r="B140" s="16" t="s">
        <v>394</v>
      </c>
    </row>
    <row r="141" spans="2:56" ht="16.5" customHeight="1">
      <c r="C141" s="332" t="s">
        <v>10</v>
      </c>
      <c r="D141" s="358" t="s">
        <v>235</v>
      </c>
      <c r="E141" s="359"/>
      <c r="F141" s="359"/>
      <c r="G141" s="360"/>
      <c r="H141" s="368" t="s">
        <v>193</v>
      </c>
      <c r="I141" s="369" t="s">
        <v>192</v>
      </c>
      <c r="J141" s="370" t="s">
        <v>237</v>
      </c>
      <c r="K141" s="371"/>
      <c r="L141" s="355" t="s">
        <v>236</v>
      </c>
      <c r="M141" s="358" t="s">
        <v>234</v>
      </c>
      <c r="N141" s="359"/>
      <c r="O141" s="359"/>
      <c r="P141" s="359"/>
      <c r="Q141" s="359"/>
      <c r="R141" s="359"/>
      <c r="S141" s="359"/>
      <c r="T141" s="360"/>
      <c r="U141" s="349" t="s">
        <v>206</v>
      </c>
    </row>
    <row r="142" spans="2:56" ht="16.5" customHeight="1">
      <c r="C142" s="333"/>
      <c r="D142" s="365"/>
      <c r="E142" s="366"/>
      <c r="F142" s="366"/>
      <c r="G142" s="367"/>
      <c r="H142" s="368"/>
      <c r="I142" s="369"/>
      <c r="J142" s="372"/>
      <c r="K142" s="373"/>
      <c r="L142" s="356"/>
      <c r="M142" s="361"/>
      <c r="N142" s="362"/>
      <c r="O142" s="362"/>
      <c r="P142" s="362"/>
      <c r="Q142" s="362"/>
      <c r="R142" s="362"/>
      <c r="S142" s="362"/>
      <c r="T142" s="363"/>
      <c r="U142" s="349"/>
    </row>
    <row r="143" spans="2:56" ht="29.25" customHeight="1">
      <c r="C143" s="333"/>
      <c r="D143" s="365"/>
      <c r="E143" s="366"/>
      <c r="F143" s="366"/>
      <c r="G143" s="367"/>
      <c r="H143" s="368"/>
      <c r="I143" s="369"/>
      <c r="J143" s="372"/>
      <c r="K143" s="373"/>
      <c r="L143" s="356"/>
      <c r="M143" s="347" t="s">
        <v>160</v>
      </c>
      <c r="N143" s="347" t="s">
        <v>190</v>
      </c>
      <c r="O143" s="347" t="s">
        <v>189</v>
      </c>
      <c r="P143" s="347" t="s">
        <v>188</v>
      </c>
      <c r="Q143" s="347" t="s">
        <v>187</v>
      </c>
      <c r="R143" s="347" t="s">
        <v>186</v>
      </c>
      <c r="S143" s="347" t="s">
        <v>185</v>
      </c>
      <c r="T143" s="347" t="s">
        <v>184</v>
      </c>
      <c r="U143" s="349"/>
    </row>
    <row r="144" spans="2:56" ht="10.15" customHeight="1">
      <c r="C144" s="364"/>
      <c r="D144" s="361"/>
      <c r="E144" s="362"/>
      <c r="F144" s="362"/>
      <c r="G144" s="363"/>
      <c r="H144" s="368"/>
      <c r="I144" s="369"/>
      <c r="J144" s="374"/>
      <c r="K144" s="375"/>
      <c r="L144" s="357"/>
      <c r="M144" s="348"/>
      <c r="N144" s="348"/>
      <c r="O144" s="348"/>
      <c r="P144" s="348"/>
      <c r="Q144" s="348"/>
      <c r="R144" s="348"/>
      <c r="S144" s="348"/>
      <c r="T144" s="348"/>
      <c r="U144" s="349"/>
    </row>
    <row r="145" spans="1:55">
      <c r="C145" s="5">
        <v>1</v>
      </c>
      <c r="D145" s="350"/>
      <c r="E145" s="351"/>
      <c r="F145" s="351"/>
      <c r="G145" s="352"/>
      <c r="H145" s="5"/>
      <c r="I145" s="5"/>
      <c r="J145" s="353">
        <f>IFERROR(100/L145,"")</f>
        <v>14.285714285714286</v>
      </c>
      <c r="K145" s="354"/>
      <c r="L145" s="129">
        <v>7</v>
      </c>
      <c r="M145" s="9"/>
      <c r="N145" s="9"/>
      <c r="O145" s="9" t="s">
        <v>65</v>
      </c>
      <c r="P145" s="9"/>
      <c r="Q145" s="9"/>
      <c r="R145" s="9"/>
      <c r="S145" s="9"/>
      <c r="T145" s="9"/>
      <c r="U145" s="192">
        <f t="shared" ref="U145:U150" si="66">IFERROR(+$BC145*$J145/100,"")</f>
        <v>1.142857142857143</v>
      </c>
      <c r="BC145" s="130">
        <f>+IF($M145&lt;&gt;"",12,IF($N145&lt;&gt;"",10,IF($O145&lt;&gt;"",8,IF($P145&lt;&gt;"",7,IF($Q145&lt;&gt;"",5,IF($R145&lt;&gt;"",3,IF($S145&lt;&gt;"",2,IF($T145&lt;&gt;"",1,0))))))))</f>
        <v>8</v>
      </c>
    </row>
    <row r="146" spans="1:55">
      <c r="C146" s="5">
        <v>2</v>
      </c>
      <c r="D146" s="350"/>
      <c r="E146" s="351"/>
      <c r="F146" s="351"/>
      <c r="G146" s="352"/>
      <c r="H146" s="5"/>
      <c r="I146" s="5"/>
      <c r="J146" s="353">
        <f t="shared" ref="J146:J150" si="67">IFERROR(100/L146,"")</f>
        <v>50</v>
      </c>
      <c r="K146" s="354"/>
      <c r="L146" s="129">
        <v>2</v>
      </c>
      <c r="M146" s="9" t="s">
        <v>65</v>
      </c>
      <c r="N146" s="9"/>
      <c r="O146" s="9"/>
      <c r="P146" s="9"/>
      <c r="Q146" s="9"/>
      <c r="R146" s="9"/>
      <c r="S146" s="9"/>
      <c r="T146" s="9"/>
      <c r="U146" s="192">
        <f t="shared" si="66"/>
        <v>6</v>
      </c>
      <c r="BC146" s="130">
        <f t="shared" ref="BC146:BC150" si="68">+IF($M146&lt;&gt;"",12,IF($N146&lt;&gt;"",10,IF($O146&lt;&gt;"",8,IF($P146&lt;&gt;"",7,IF($Q146&lt;&gt;"",5,IF($R146&lt;&gt;"",3,IF($S146&lt;&gt;"",2,IF($T146&lt;&gt;"",1,0))))))))</f>
        <v>12</v>
      </c>
    </row>
    <row r="147" spans="1:55">
      <c r="C147" s="5">
        <v>3</v>
      </c>
      <c r="D147" s="350"/>
      <c r="E147" s="351"/>
      <c r="F147" s="351"/>
      <c r="G147" s="352"/>
      <c r="H147" s="5"/>
      <c r="I147" s="5"/>
      <c r="J147" s="353">
        <f t="shared" si="67"/>
        <v>33.333333333333336</v>
      </c>
      <c r="K147" s="354"/>
      <c r="L147" s="129">
        <v>3</v>
      </c>
      <c r="M147" s="9" t="s">
        <v>65</v>
      </c>
      <c r="N147" s="9"/>
      <c r="O147" s="9"/>
      <c r="P147" s="9"/>
      <c r="Q147" s="9"/>
      <c r="R147" s="9"/>
      <c r="S147" s="9"/>
      <c r="T147" s="9"/>
      <c r="U147" s="192">
        <f t="shared" si="66"/>
        <v>4</v>
      </c>
      <c r="BC147" s="130">
        <f t="shared" si="68"/>
        <v>12</v>
      </c>
    </row>
    <row r="148" spans="1:55">
      <c r="C148" s="5">
        <v>4</v>
      </c>
      <c r="D148" s="350"/>
      <c r="E148" s="351"/>
      <c r="F148" s="351"/>
      <c r="G148" s="352"/>
      <c r="H148" s="5"/>
      <c r="I148" s="5"/>
      <c r="J148" s="353" t="str">
        <f t="shared" si="67"/>
        <v/>
      </c>
      <c r="K148" s="354"/>
      <c r="L148" s="129"/>
      <c r="M148" s="9"/>
      <c r="N148" s="9"/>
      <c r="O148" s="9"/>
      <c r="P148" s="9"/>
      <c r="Q148" s="9"/>
      <c r="R148" s="9"/>
      <c r="S148" s="9"/>
      <c r="T148" s="9"/>
      <c r="U148" s="192" t="str">
        <f t="shared" si="66"/>
        <v/>
      </c>
      <c r="BC148" s="130">
        <f t="shared" si="68"/>
        <v>0</v>
      </c>
    </row>
    <row r="149" spans="1:55">
      <c r="C149" s="5">
        <v>5</v>
      </c>
      <c r="D149" s="350"/>
      <c r="E149" s="351"/>
      <c r="F149" s="351"/>
      <c r="G149" s="352"/>
      <c r="H149" s="5"/>
      <c r="I149" s="5"/>
      <c r="J149" s="353" t="str">
        <f t="shared" si="67"/>
        <v/>
      </c>
      <c r="K149" s="354"/>
      <c r="L149" s="129"/>
      <c r="M149" s="9"/>
      <c r="N149" s="9"/>
      <c r="O149" s="9"/>
      <c r="P149" s="9"/>
      <c r="Q149" s="9"/>
      <c r="R149" s="9"/>
      <c r="S149" s="9"/>
      <c r="T149" s="9"/>
      <c r="U149" s="192" t="str">
        <f t="shared" si="66"/>
        <v/>
      </c>
      <c r="BC149" s="130">
        <f t="shared" si="68"/>
        <v>0</v>
      </c>
    </row>
    <row r="150" spans="1:55" ht="15">
      <c r="C150" s="5">
        <v>6</v>
      </c>
      <c r="D150" s="350"/>
      <c r="E150" s="351"/>
      <c r="F150" s="351"/>
      <c r="G150" s="352"/>
      <c r="H150" s="5"/>
      <c r="I150" s="5"/>
      <c r="J150" s="353" t="str">
        <f t="shared" si="67"/>
        <v/>
      </c>
      <c r="K150" s="354"/>
      <c r="L150" s="129"/>
      <c r="M150" s="9"/>
      <c r="N150" s="9"/>
      <c r="O150" s="9"/>
      <c r="P150" s="9"/>
      <c r="Q150" s="9"/>
      <c r="R150" s="9"/>
      <c r="S150" s="9"/>
      <c r="T150" s="9"/>
      <c r="U150" s="192" t="str">
        <f t="shared" si="66"/>
        <v/>
      </c>
      <c r="X150"/>
      <c r="BC150" s="130">
        <f t="shared" si="68"/>
        <v>0</v>
      </c>
    </row>
    <row r="151" spans="1:55" ht="15">
      <c r="C151" s="315" t="s">
        <v>561</v>
      </c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7"/>
      <c r="U151" s="184">
        <f>SUM(U145:U150)</f>
        <v>11.142857142857142</v>
      </c>
      <c r="X151"/>
    </row>
    <row r="152" spans="1:55" ht="15">
      <c r="AA152"/>
    </row>
    <row r="154" spans="1:55">
      <c r="A154" s="1" t="s">
        <v>242</v>
      </c>
    </row>
    <row r="155" spans="1:55">
      <c r="C155" s="332" t="s">
        <v>10</v>
      </c>
      <c r="D155" s="334" t="s">
        <v>243</v>
      </c>
      <c r="E155" s="335"/>
      <c r="F155" s="335"/>
      <c r="G155" s="335"/>
      <c r="H155" s="335"/>
      <c r="I155" s="335"/>
      <c r="J155" s="336"/>
      <c r="K155" s="343" t="s">
        <v>195</v>
      </c>
      <c r="L155" s="344"/>
      <c r="M155" s="344"/>
      <c r="N155" s="344"/>
      <c r="O155" s="344"/>
      <c r="P155" s="344"/>
      <c r="Q155" s="344"/>
      <c r="R155" s="344"/>
      <c r="S155" s="345"/>
      <c r="T155" s="346" t="s">
        <v>241</v>
      </c>
      <c r="U155" s="349" t="s">
        <v>206</v>
      </c>
    </row>
    <row r="156" spans="1:55" ht="45.75" customHeight="1">
      <c r="C156" s="333"/>
      <c r="D156" s="337"/>
      <c r="E156" s="338"/>
      <c r="F156" s="338"/>
      <c r="G156" s="338"/>
      <c r="H156" s="338"/>
      <c r="I156" s="338"/>
      <c r="J156" s="339"/>
      <c r="K156" s="343" t="s">
        <v>238</v>
      </c>
      <c r="L156" s="344"/>
      <c r="M156" s="345"/>
      <c r="N156" s="343" t="s">
        <v>239</v>
      </c>
      <c r="O156" s="344"/>
      <c r="P156" s="345"/>
      <c r="Q156" s="328" t="s">
        <v>240</v>
      </c>
      <c r="R156" s="329"/>
      <c r="S156" s="330"/>
      <c r="T156" s="347"/>
      <c r="U156" s="349"/>
    </row>
    <row r="157" spans="1:55">
      <c r="C157" s="333"/>
      <c r="D157" s="340"/>
      <c r="E157" s="341"/>
      <c r="F157" s="341"/>
      <c r="G157" s="341"/>
      <c r="H157" s="341"/>
      <c r="I157" s="341"/>
      <c r="J157" s="342"/>
      <c r="K157" s="6" t="s">
        <v>26</v>
      </c>
      <c r="L157" s="6" t="s">
        <v>27</v>
      </c>
      <c r="M157" s="6" t="s">
        <v>28</v>
      </c>
      <c r="N157" s="6" t="s">
        <v>29</v>
      </c>
      <c r="O157" s="6" t="s">
        <v>30</v>
      </c>
      <c r="P157" s="6" t="s">
        <v>31</v>
      </c>
      <c r="Q157" s="6" t="s">
        <v>32</v>
      </c>
      <c r="R157" s="6" t="s">
        <v>33</v>
      </c>
      <c r="S157" s="6" t="s">
        <v>34</v>
      </c>
      <c r="T157" s="348"/>
      <c r="U157" s="349"/>
    </row>
    <row r="158" spans="1:55">
      <c r="C158" s="5"/>
      <c r="D158" s="37"/>
      <c r="E158" s="34"/>
      <c r="F158" s="34"/>
      <c r="G158" s="34"/>
      <c r="H158" s="34"/>
      <c r="I158" s="34"/>
      <c r="J158" s="34"/>
      <c r="K158" s="9" t="s">
        <v>65</v>
      </c>
      <c r="L158" s="9"/>
      <c r="M158" s="9"/>
      <c r="N158" s="9"/>
      <c r="O158" s="9"/>
      <c r="P158" s="9"/>
      <c r="Q158" s="9"/>
      <c r="R158" s="9"/>
      <c r="S158" s="9"/>
      <c r="T158" s="5">
        <v>1</v>
      </c>
      <c r="U158" s="184">
        <f>IF(OR(K158&lt;&gt;"",N158&lt;&gt;""),2*T158,IF(OR(L158&lt;&gt;"",O158&lt;&gt;""),1*T158,IF(OR(M158&lt;&gt;"",P158&lt;&gt;""),0.2*T158,IF(Q158&lt;&gt;"",2,IF(R158&lt;&gt;"",1,IF(S158&lt;&gt;"",0.5,0))))))</f>
        <v>2</v>
      </c>
    </row>
    <row r="159" spans="1:55">
      <c r="C159" s="5"/>
      <c r="D159" s="37"/>
      <c r="E159" s="34"/>
      <c r="F159" s="34"/>
      <c r="G159" s="34"/>
      <c r="H159" s="34"/>
      <c r="I159" s="34"/>
      <c r="J159" s="34"/>
      <c r="K159" s="9"/>
      <c r="L159" s="9"/>
      <c r="M159" s="9"/>
      <c r="N159" s="9" t="s">
        <v>65</v>
      </c>
      <c r="O159" s="9"/>
      <c r="P159" s="9"/>
      <c r="Q159" s="9"/>
      <c r="R159" s="9"/>
      <c r="S159" s="9"/>
      <c r="T159" s="5">
        <v>1</v>
      </c>
      <c r="U159" s="184">
        <f t="shared" ref="U159:U164" si="69">IF(OR(K159&lt;&gt;"",N159&lt;&gt;""),2*T159,IF(OR(L159&lt;&gt;"",O159&lt;&gt;""),1*T159,IF(OR(M159&lt;&gt;"",P159&lt;&gt;""),0.2*T159,IF(Q159&lt;&gt;"",2,IF(R159&lt;&gt;"",1,IF(S159&lt;&gt;"",0.5,0))))))</f>
        <v>2</v>
      </c>
    </row>
    <row r="160" spans="1:55">
      <c r="C160" s="5"/>
      <c r="D160" s="37"/>
      <c r="E160" s="34"/>
      <c r="F160" s="34"/>
      <c r="G160" s="34"/>
      <c r="H160" s="34"/>
      <c r="I160" s="34"/>
      <c r="J160" s="34"/>
      <c r="K160" s="9"/>
      <c r="L160" s="9"/>
      <c r="M160" s="9"/>
      <c r="N160" s="9"/>
      <c r="O160" s="9"/>
      <c r="P160" s="9"/>
      <c r="Q160" s="9" t="s">
        <v>65</v>
      </c>
      <c r="R160" s="9"/>
      <c r="S160" s="9"/>
      <c r="T160" s="5">
        <v>1</v>
      </c>
      <c r="U160" s="184">
        <f t="shared" si="69"/>
        <v>2</v>
      </c>
    </row>
    <row r="161" spans="1:24">
      <c r="C161" s="5"/>
      <c r="D161" s="37"/>
      <c r="E161" s="34"/>
      <c r="F161" s="34"/>
      <c r="G161" s="34"/>
      <c r="H161" s="34"/>
      <c r="I161" s="34"/>
      <c r="J161" s="34"/>
      <c r="K161" s="9"/>
      <c r="L161" s="9"/>
      <c r="M161" s="9"/>
      <c r="N161" s="9"/>
      <c r="O161" s="9"/>
      <c r="P161" s="9"/>
      <c r="Q161" s="9"/>
      <c r="R161" s="9"/>
      <c r="S161" s="9"/>
      <c r="T161" s="5"/>
      <c r="U161" s="184">
        <f t="shared" si="69"/>
        <v>0</v>
      </c>
    </row>
    <row r="162" spans="1:24">
      <c r="C162" s="5"/>
      <c r="D162" s="37"/>
      <c r="E162" s="34"/>
      <c r="F162" s="34"/>
      <c r="G162" s="34"/>
      <c r="H162" s="34"/>
      <c r="I162" s="34"/>
      <c r="J162" s="34"/>
      <c r="K162" s="9"/>
      <c r="L162" s="9"/>
      <c r="M162" s="9"/>
      <c r="N162" s="9"/>
      <c r="O162" s="9"/>
      <c r="P162" s="9"/>
      <c r="Q162" s="9"/>
      <c r="R162" s="9"/>
      <c r="S162" s="9"/>
      <c r="T162" s="5"/>
      <c r="U162" s="184">
        <f t="shared" si="69"/>
        <v>0</v>
      </c>
    </row>
    <row r="163" spans="1:24">
      <c r="C163" s="5"/>
      <c r="D163" s="37"/>
      <c r="E163" s="34"/>
      <c r="F163" s="34"/>
      <c r="G163" s="34"/>
      <c r="H163" s="34"/>
      <c r="I163" s="34"/>
      <c r="J163" s="34"/>
      <c r="K163" s="9"/>
      <c r="L163" s="9"/>
      <c r="M163" s="9"/>
      <c r="N163" s="9"/>
      <c r="O163" s="9"/>
      <c r="P163" s="9"/>
      <c r="Q163" s="9"/>
      <c r="R163" s="9"/>
      <c r="S163" s="9"/>
      <c r="T163" s="5"/>
      <c r="U163" s="184">
        <f t="shared" si="69"/>
        <v>0</v>
      </c>
    </row>
    <row r="164" spans="1:24">
      <c r="C164" s="5"/>
      <c r="D164" s="37"/>
      <c r="E164" s="34"/>
      <c r="F164" s="34"/>
      <c r="G164" s="34"/>
      <c r="H164" s="34"/>
      <c r="I164" s="34"/>
      <c r="J164" s="34"/>
      <c r="K164" s="9"/>
      <c r="L164" s="9"/>
      <c r="M164" s="9"/>
      <c r="N164" s="9"/>
      <c r="O164" s="9"/>
      <c r="P164" s="9"/>
      <c r="Q164" s="9"/>
      <c r="R164" s="9"/>
      <c r="S164" s="9"/>
      <c r="T164" s="5"/>
      <c r="U164" s="184">
        <f t="shared" si="69"/>
        <v>0</v>
      </c>
    </row>
    <row r="165" spans="1:24">
      <c r="C165" s="315" t="s">
        <v>40</v>
      </c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7"/>
      <c r="U165" s="184">
        <f>SUM(U158:U164)</f>
        <v>6</v>
      </c>
    </row>
    <row r="166" spans="1:24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4">
      <c r="A167" s="1" t="s">
        <v>365</v>
      </c>
    </row>
    <row r="168" spans="1:24" ht="40.5" customHeight="1">
      <c r="C168" s="318" t="s">
        <v>10</v>
      </c>
      <c r="D168" s="325" t="s">
        <v>366</v>
      </c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7"/>
      <c r="P168" s="328" t="s">
        <v>367</v>
      </c>
      <c r="Q168" s="329"/>
      <c r="R168" s="329"/>
      <c r="S168" s="329"/>
      <c r="T168" s="329"/>
      <c r="U168" s="329"/>
      <c r="V168" s="329"/>
      <c r="W168" s="330"/>
      <c r="X168" s="331" t="s">
        <v>206</v>
      </c>
    </row>
    <row r="169" spans="1:24" ht="40.5" customHeight="1">
      <c r="C169" s="318"/>
      <c r="D169" s="318" t="s">
        <v>68</v>
      </c>
      <c r="E169" s="318"/>
      <c r="F169" s="43" t="s">
        <v>70</v>
      </c>
      <c r="G169" s="318" t="s">
        <v>71</v>
      </c>
      <c r="H169" s="318"/>
      <c r="I169" s="318"/>
      <c r="J169" s="318"/>
      <c r="K169" s="318"/>
      <c r="L169" s="318"/>
      <c r="M169" s="318" t="s">
        <v>69</v>
      </c>
      <c r="N169" s="318"/>
      <c r="O169" s="318"/>
      <c r="P169" s="6" t="s">
        <v>26</v>
      </c>
      <c r="Q169" s="6" t="s">
        <v>27</v>
      </c>
      <c r="R169" s="6" t="s">
        <v>28</v>
      </c>
      <c r="S169" s="48" t="s">
        <v>29</v>
      </c>
      <c r="T169" s="48" t="s">
        <v>30</v>
      </c>
      <c r="U169" s="48" t="s">
        <v>31</v>
      </c>
      <c r="V169" s="48" t="s">
        <v>32</v>
      </c>
      <c r="W169" s="48" t="s">
        <v>33</v>
      </c>
      <c r="X169" s="331"/>
    </row>
    <row r="170" spans="1:24">
      <c r="C170" s="5"/>
      <c r="D170" s="313"/>
      <c r="E170" s="313"/>
      <c r="F170" s="12"/>
      <c r="G170" s="314"/>
      <c r="H170" s="314"/>
      <c r="I170" s="314"/>
      <c r="J170" s="314"/>
      <c r="K170" s="314"/>
      <c r="L170" s="314"/>
      <c r="M170" s="314"/>
      <c r="N170" s="314"/>
      <c r="O170" s="314"/>
      <c r="P170" s="9"/>
      <c r="Q170" s="9"/>
      <c r="R170" s="9"/>
      <c r="S170" s="9"/>
      <c r="T170" s="9"/>
      <c r="U170" s="9"/>
      <c r="V170" s="9"/>
      <c r="W170" s="9"/>
      <c r="X170" s="203"/>
    </row>
    <row r="171" spans="1:24">
      <c r="C171" s="5"/>
      <c r="D171" s="313"/>
      <c r="E171" s="313"/>
      <c r="F171" s="12"/>
      <c r="G171" s="314"/>
      <c r="H171" s="314"/>
      <c r="I171" s="314"/>
      <c r="J171" s="314"/>
      <c r="K171" s="314"/>
      <c r="L171" s="314"/>
      <c r="M171" s="314"/>
      <c r="N171" s="314"/>
      <c r="O171" s="314"/>
      <c r="P171" s="9"/>
      <c r="Q171" s="9"/>
      <c r="R171" s="9"/>
      <c r="S171" s="9"/>
      <c r="T171" s="9"/>
      <c r="U171" s="9"/>
      <c r="V171" s="9"/>
      <c r="W171" s="9"/>
      <c r="X171" s="203"/>
    </row>
    <row r="172" spans="1:24">
      <c r="C172" s="5"/>
      <c r="D172" s="313"/>
      <c r="E172" s="313"/>
      <c r="F172" s="12"/>
      <c r="G172" s="314"/>
      <c r="H172" s="314"/>
      <c r="I172" s="314"/>
      <c r="J172" s="314"/>
      <c r="K172" s="314"/>
      <c r="L172" s="314"/>
      <c r="M172" s="314"/>
      <c r="N172" s="314"/>
      <c r="O172" s="314"/>
      <c r="P172" s="9"/>
      <c r="Q172" s="9"/>
      <c r="R172" s="9"/>
      <c r="S172" s="9"/>
      <c r="T172" s="9"/>
      <c r="U172" s="9"/>
      <c r="V172" s="9"/>
      <c r="W172" s="9"/>
      <c r="X172" s="203"/>
    </row>
    <row r="173" spans="1:24">
      <c r="C173" s="5"/>
      <c r="D173" s="313"/>
      <c r="E173" s="313"/>
      <c r="F173" s="12"/>
      <c r="G173" s="314"/>
      <c r="H173" s="314"/>
      <c r="I173" s="314"/>
      <c r="J173" s="314"/>
      <c r="K173" s="314"/>
      <c r="L173" s="314"/>
      <c r="M173" s="314"/>
      <c r="N173" s="314"/>
      <c r="O173" s="314"/>
      <c r="P173" s="9"/>
      <c r="Q173" s="9"/>
      <c r="R173" s="9"/>
      <c r="S173" s="9"/>
      <c r="T173" s="9"/>
      <c r="U173" s="9"/>
      <c r="V173" s="9"/>
      <c r="W173" s="9"/>
      <c r="X173" s="203"/>
    </row>
    <row r="174" spans="1:24">
      <c r="C174" s="5"/>
      <c r="D174" s="313"/>
      <c r="E174" s="313"/>
      <c r="F174" s="12"/>
      <c r="G174" s="314"/>
      <c r="H174" s="314"/>
      <c r="I174" s="314"/>
      <c r="J174" s="314"/>
      <c r="K174" s="314"/>
      <c r="L174" s="314"/>
      <c r="M174" s="314"/>
      <c r="N174" s="314"/>
      <c r="O174" s="314"/>
      <c r="P174" s="9"/>
      <c r="Q174" s="9"/>
      <c r="R174" s="9"/>
      <c r="S174" s="9"/>
      <c r="T174" s="9"/>
      <c r="U174" s="9"/>
      <c r="V174" s="9"/>
      <c r="W174" s="9"/>
      <c r="X174" s="203"/>
    </row>
    <row r="175" spans="1:24">
      <c r="C175" s="315" t="s">
        <v>368</v>
      </c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7"/>
      <c r="X175" s="184">
        <f>SUM(X170:X174)</f>
        <v>0</v>
      </c>
    </row>
    <row r="177" spans="1:23">
      <c r="A177" s="1" t="s">
        <v>67</v>
      </c>
    </row>
    <row r="179" spans="1:23" ht="36">
      <c r="C179" s="43" t="s">
        <v>10</v>
      </c>
      <c r="D179" s="318" t="s">
        <v>69</v>
      </c>
      <c r="E179" s="318"/>
      <c r="F179" s="318"/>
      <c r="G179" s="318"/>
      <c r="H179" s="318"/>
      <c r="I179" s="318"/>
      <c r="J179" s="318"/>
      <c r="K179" s="318"/>
      <c r="L179" s="318"/>
      <c r="M179" s="204" t="s">
        <v>370</v>
      </c>
    </row>
    <row r="180" spans="1:23">
      <c r="C180" s="5"/>
      <c r="D180" s="314"/>
      <c r="E180" s="314"/>
      <c r="F180" s="314"/>
      <c r="G180" s="314"/>
      <c r="H180" s="314"/>
      <c r="I180" s="314"/>
      <c r="J180" s="314"/>
      <c r="K180" s="314"/>
      <c r="L180" s="314"/>
      <c r="M180" s="203"/>
    </row>
    <row r="181" spans="1:23">
      <c r="C181" s="5"/>
      <c r="D181" s="314"/>
      <c r="E181" s="314"/>
      <c r="F181" s="314"/>
      <c r="G181" s="314"/>
      <c r="H181" s="314"/>
      <c r="I181" s="314"/>
      <c r="J181" s="314"/>
      <c r="K181" s="314"/>
      <c r="L181" s="314"/>
      <c r="M181" s="203"/>
    </row>
    <row r="182" spans="1:23">
      <c r="C182" s="315" t="s">
        <v>83</v>
      </c>
      <c r="D182" s="316"/>
      <c r="E182" s="316"/>
      <c r="F182" s="316"/>
      <c r="G182" s="316"/>
      <c r="H182" s="316"/>
      <c r="I182" s="316"/>
      <c r="J182" s="316"/>
      <c r="K182" s="316"/>
      <c r="L182" s="317"/>
      <c r="M182" s="184">
        <f>SUM(M180:M181)</f>
        <v>0</v>
      </c>
    </row>
    <row r="184" spans="1:23">
      <c r="A184" s="1" t="s">
        <v>84</v>
      </c>
    </row>
    <row r="186" spans="1:23" ht="36">
      <c r="C186" s="43" t="s">
        <v>10</v>
      </c>
      <c r="D186" s="318" t="s">
        <v>369</v>
      </c>
      <c r="E186" s="318"/>
      <c r="F186" s="318"/>
      <c r="G186" s="318"/>
      <c r="H186" s="318"/>
      <c r="I186" s="318"/>
      <c r="J186" s="318"/>
      <c r="K186" s="318"/>
      <c r="L186" s="318"/>
      <c r="M186" s="204" t="s">
        <v>370</v>
      </c>
      <c r="O186" s="1" t="s">
        <v>90</v>
      </c>
    </row>
    <row r="187" spans="1:23">
      <c r="C187" s="5">
        <v>1</v>
      </c>
      <c r="D187" s="314" t="str">
        <f>IF(M187&lt;20,"ภาระการสอนไม่เป็นไปตามเกณฑ์ (น้อยกว่า 20 ภาระงาน / สัปดาห์)","ภาระการสอน")</f>
        <v>ภาระการสอน</v>
      </c>
      <c r="E187" s="314"/>
      <c r="F187" s="314"/>
      <c r="G187" s="314"/>
      <c r="H187" s="314"/>
      <c r="I187" s="314"/>
      <c r="J187" s="314"/>
      <c r="K187" s="314"/>
      <c r="L187" s="314"/>
      <c r="M187" s="184">
        <f>+P30+X46+W60+U81+T94</f>
        <v>219.51</v>
      </c>
      <c r="O187" s="319" t="s">
        <v>91</v>
      </c>
      <c r="P187" s="319"/>
      <c r="Q187" s="319"/>
      <c r="R187" s="319"/>
      <c r="S187" s="319"/>
      <c r="T187" s="319"/>
      <c r="U187" s="319"/>
      <c r="V187" s="319"/>
      <c r="W187" s="319"/>
    </row>
    <row r="188" spans="1:23">
      <c r="C188" s="5">
        <v>2</v>
      </c>
      <c r="D188" s="314" t="s">
        <v>377</v>
      </c>
      <c r="E188" s="314"/>
      <c r="F188" s="314"/>
      <c r="G188" s="314"/>
      <c r="H188" s="314"/>
      <c r="I188" s="314"/>
      <c r="J188" s="314"/>
      <c r="K188" s="314"/>
      <c r="L188" s="314"/>
      <c r="M188" s="184">
        <f>+X108+X119</f>
        <v>43</v>
      </c>
      <c r="O188" s="319" t="s">
        <v>92</v>
      </c>
      <c r="P188" s="319"/>
      <c r="Q188" s="319"/>
      <c r="R188" s="319"/>
      <c r="S188" s="319"/>
      <c r="T188" s="319"/>
      <c r="U188" s="319"/>
      <c r="V188" s="319"/>
      <c r="W188" s="319"/>
    </row>
    <row r="189" spans="1:23">
      <c r="C189" s="5">
        <v>3</v>
      </c>
      <c r="D189" s="314" t="s">
        <v>375</v>
      </c>
      <c r="E189" s="314"/>
      <c r="F189" s="314"/>
      <c r="G189" s="314"/>
      <c r="H189" s="314"/>
      <c r="I189" s="314"/>
      <c r="J189" s="314"/>
      <c r="K189" s="314"/>
      <c r="L189" s="314"/>
      <c r="M189" s="184">
        <f>+V137+U151</f>
        <v>23.642857142857142</v>
      </c>
      <c r="O189" s="322"/>
      <c r="P189" s="322"/>
      <c r="Q189" s="322"/>
      <c r="R189" s="322"/>
      <c r="S189" s="322"/>
      <c r="T189" s="322"/>
      <c r="U189" s="322"/>
      <c r="V189" s="322"/>
    </row>
    <row r="190" spans="1:23">
      <c r="C190" s="5">
        <v>4</v>
      </c>
      <c r="D190" s="314" t="s">
        <v>85</v>
      </c>
      <c r="E190" s="314"/>
      <c r="F190" s="314"/>
      <c r="G190" s="314"/>
      <c r="H190" s="314"/>
      <c r="I190" s="314"/>
      <c r="J190" s="314"/>
      <c r="K190" s="314"/>
      <c r="L190" s="314"/>
      <c r="M190" s="184">
        <f>+U165</f>
        <v>6</v>
      </c>
      <c r="O190" s="322"/>
      <c r="P190" s="322"/>
      <c r="Q190" s="322"/>
      <c r="R190" s="322"/>
      <c r="S190" s="322"/>
      <c r="T190" s="322"/>
      <c r="U190" s="322"/>
      <c r="V190" s="322"/>
    </row>
    <row r="191" spans="1:23">
      <c r="C191" s="5">
        <v>5</v>
      </c>
      <c r="D191" s="314" t="s">
        <v>376</v>
      </c>
      <c r="E191" s="314"/>
      <c r="F191" s="314"/>
      <c r="G191" s="314"/>
      <c r="H191" s="314"/>
      <c r="I191" s="314"/>
      <c r="J191" s="314"/>
      <c r="K191" s="314"/>
      <c r="L191" s="314"/>
      <c r="M191" s="184">
        <f>+X175</f>
        <v>0</v>
      </c>
      <c r="O191" s="322"/>
      <c r="P191" s="322"/>
      <c r="Q191" s="322"/>
      <c r="R191" s="322"/>
      <c r="S191" s="322"/>
      <c r="T191" s="322"/>
      <c r="U191" s="322"/>
      <c r="V191" s="322"/>
    </row>
    <row r="192" spans="1:23">
      <c r="C192" s="5">
        <v>6</v>
      </c>
      <c r="D192" s="314" t="s">
        <v>86</v>
      </c>
      <c r="E192" s="314"/>
      <c r="F192" s="314"/>
      <c r="G192" s="314"/>
      <c r="H192" s="314"/>
      <c r="I192" s="314"/>
      <c r="J192" s="314"/>
      <c r="K192" s="314"/>
      <c r="L192" s="314"/>
      <c r="M192" s="184">
        <f>+M182</f>
        <v>0</v>
      </c>
      <c r="O192" s="322"/>
      <c r="P192" s="322"/>
      <c r="Q192" s="322"/>
      <c r="R192" s="322"/>
      <c r="S192" s="322"/>
      <c r="T192" s="322"/>
      <c r="U192" s="322"/>
      <c r="V192" s="322"/>
    </row>
    <row r="193" spans="1:22">
      <c r="C193" s="315" t="s">
        <v>373</v>
      </c>
      <c r="D193" s="316"/>
      <c r="E193" s="316"/>
      <c r="F193" s="316"/>
      <c r="G193" s="316"/>
      <c r="H193" s="316"/>
      <c r="I193" s="316"/>
      <c r="J193" s="316"/>
      <c r="K193" s="316"/>
      <c r="L193" s="317"/>
      <c r="M193" s="184">
        <f>SUM(M187:M192)</f>
        <v>292.15285714285716</v>
      </c>
    </row>
    <row r="194" spans="1:22">
      <c r="C194" s="1" t="s">
        <v>527</v>
      </c>
    </row>
    <row r="195" spans="1:22">
      <c r="D195" s="55" t="s">
        <v>65</v>
      </c>
      <c r="E195" s="319" t="s">
        <v>386</v>
      </c>
      <c r="F195" s="319"/>
      <c r="G195" s="319"/>
      <c r="O195" s="320" t="s">
        <v>93</v>
      </c>
      <c r="P195" s="320"/>
      <c r="Q195" s="320"/>
      <c r="R195" s="320"/>
      <c r="S195" s="320"/>
      <c r="T195" s="320"/>
      <c r="U195" s="320"/>
      <c r="V195" s="320"/>
    </row>
    <row r="196" spans="1:22">
      <c r="D196" s="55"/>
      <c r="E196" s="319" t="s">
        <v>387</v>
      </c>
      <c r="F196" s="319"/>
      <c r="G196" s="319"/>
      <c r="O196" s="320"/>
      <c r="P196" s="320"/>
      <c r="Q196" s="320"/>
      <c r="R196" s="320"/>
      <c r="S196" s="320"/>
      <c r="T196" s="320"/>
      <c r="U196" s="320"/>
      <c r="V196" s="320"/>
    </row>
    <row r="197" spans="1:22">
      <c r="D197" s="55"/>
      <c r="E197" s="319" t="s">
        <v>388</v>
      </c>
      <c r="F197" s="319"/>
      <c r="G197" s="319"/>
      <c r="H197" s="319"/>
      <c r="I197" s="319"/>
      <c r="J197" s="319"/>
      <c r="K197" s="319"/>
      <c r="L197" s="319"/>
      <c r="O197" s="320"/>
      <c r="P197" s="320"/>
      <c r="Q197" s="320"/>
      <c r="R197" s="320"/>
      <c r="S197" s="320"/>
      <c r="T197" s="320"/>
      <c r="U197" s="320"/>
      <c r="V197" s="320"/>
    </row>
    <row r="198" spans="1:22">
      <c r="D198" s="55" t="s">
        <v>65</v>
      </c>
      <c r="E198" s="320" t="s">
        <v>389</v>
      </c>
      <c r="F198" s="320"/>
      <c r="G198" s="321"/>
      <c r="H198" s="321"/>
      <c r="I198" s="321"/>
      <c r="J198" s="321"/>
      <c r="K198" s="321"/>
      <c r="L198" s="321"/>
      <c r="M198" s="321"/>
      <c r="N198" s="321"/>
      <c r="O198" s="320" t="s">
        <v>94</v>
      </c>
      <c r="P198" s="320"/>
      <c r="Q198" s="320"/>
      <c r="R198" s="320"/>
      <c r="S198" s="320"/>
      <c r="T198" s="320"/>
      <c r="U198" s="320"/>
      <c r="V198" s="320"/>
    </row>
    <row r="199" spans="1:22">
      <c r="O199" s="320" t="s">
        <v>95</v>
      </c>
      <c r="P199" s="320"/>
      <c r="Q199" s="320"/>
      <c r="R199" s="320"/>
      <c r="S199" s="320"/>
      <c r="T199" s="320"/>
      <c r="U199" s="320"/>
      <c r="V199" s="320"/>
    </row>
    <row r="200" spans="1:22">
      <c r="A200" s="1" t="s">
        <v>96</v>
      </c>
    </row>
    <row r="201" spans="1:22" ht="14.25" customHeight="1">
      <c r="C201" s="1" t="s">
        <v>97</v>
      </c>
      <c r="I201" s="323"/>
      <c r="J201" s="323"/>
      <c r="K201" s="323"/>
      <c r="L201" s="323"/>
      <c r="M201" s="323"/>
      <c r="O201" s="1" t="s">
        <v>103</v>
      </c>
    </row>
    <row r="202" spans="1:22" ht="4.5" customHeight="1">
      <c r="I202" s="15"/>
      <c r="J202" s="15"/>
      <c r="K202" s="15"/>
      <c r="L202" s="15"/>
      <c r="M202" s="15"/>
    </row>
    <row r="203" spans="1:22">
      <c r="C203" s="1" t="s">
        <v>98</v>
      </c>
      <c r="E203" s="54"/>
      <c r="F203" s="1" t="s">
        <v>99</v>
      </c>
      <c r="I203" s="54"/>
      <c r="J203" s="1" t="s">
        <v>100</v>
      </c>
      <c r="O203" s="320"/>
      <c r="P203" s="320"/>
      <c r="Q203" s="320"/>
      <c r="R203" s="320"/>
      <c r="S203" s="320"/>
      <c r="T203" s="320"/>
      <c r="U203" s="320"/>
      <c r="V203" s="320"/>
    </row>
    <row r="204" spans="1:22" ht="29.45" customHeight="1">
      <c r="C204" s="324" t="s">
        <v>528</v>
      </c>
      <c r="D204" s="324"/>
      <c r="E204" s="324"/>
      <c r="F204" s="324"/>
      <c r="G204" s="324"/>
      <c r="H204" s="324"/>
      <c r="I204" s="324"/>
      <c r="J204" s="324"/>
      <c r="K204" s="324"/>
      <c r="L204" s="324"/>
      <c r="M204" s="324"/>
      <c r="N204" s="324"/>
      <c r="O204" s="323"/>
      <c r="P204" s="323"/>
      <c r="Q204" s="323"/>
      <c r="R204" s="323"/>
      <c r="S204" s="323"/>
      <c r="T204" s="323"/>
      <c r="U204" s="323"/>
      <c r="V204" s="323"/>
    </row>
    <row r="205" spans="1:22">
      <c r="C205" s="320"/>
      <c r="D205" s="320"/>
      <c r="E205" s="320"/>
      <c r="F205" s="320"/>
      <c r="G205" s="320"/>
      <c r="H205" s="320"/>
      <c r="I205" s="320"/>
      <c r="J205" s="320"/>
      <c r="K205" s="320"/>
      <c r="O205" s="320"/>
      <c r="P205" s="320"/>
      <c r="Q205" s="320"/>
      <c r="R205" s="320"/>
      <c r="S205" s="320"/>
      <c r="T205" s="320"/>
      <c r="U205" s="320"/>
      <c r="V205" s="320"/>
    </row>
    <row r="206" spans="1:22">
      <c r="C206" s="320"/>
      <c r="D206" s="320"/>
      <c r="E206" s="320"/>
      <c r="F206" s="320"/>
      <c r="G206" s="320"/>
      <c r="H206" s="320"/>
      <c r="I206" s="320"/>
      <c r="J206" s="320"/>
      <c r="K206" s="320"/>
      <c r="O206" s="320"/>
      <c r="P206" s="320"/>
      <c r="Q206" s="320"/>
      <c r="R206" s="320"/>
      <c r="S206" s="320"/>
      <c r="T206" s="320"/>
      <c r="U206" s="320"/>
      <c r="V206" s="320"/>
    </row>
    <row r="207" spans="1:22">
      <c r="C207" s="320" t="s">
        <v>94</v>
      </c>
      <c r="D207" s="320"/>
      <c r="E207" s="320"/>
      <c r="F207" s="320"/>
      <c r="G207" s="320"/>
      <c r="H207" s="320"/>
      <c r="I207" s="320"/>
      <c r="J207" s="320"/>
      <c r="K207" s="320"/>
      <c r="O207" s="320" t="s">
        <v>94</v>
      </c>
      <c r="P207" s="320"/>
      <c r="Q207" s="320"/>
      <c r="R207" s="320"/>
      <c r="S207" s="320"/>
      <c r="T207" s="320"/>
      <c r="U207" s="320"/>
      <c r="V207" s="320"/>
    </row>
    <row r="208" spans="1:22">
      <c r="C208" s="320" t="s">
        <v>101</v>
      </c>
      <c r="D208" s="320"/>
      <c r="E208" s="320"/>
      <c r="F208" s="320"/>
      <c r="G208" s="320"/>
      <c r="H208" s="320"/>
      <c r="I208" s="320"/>
      <c r="J208" s="320"/>
      <c r="K208" s="320"/>
      <c r="O208" s="320" t="s">
        <v>101</v>
      </c>
      <c r="P208" s="320"/>
      <c r="Q208" s="320"/>
      <c r="R208" s="320"/>
      <c r="S208" s="320"/>
      <c r="T208" s="320"/>
      <c r="U208" s="320"/>
      <c r="V208" s="320"/>
    </row>
    <row r="209" spans="3:22">
      <c r="C209" s="320" t="s">
        <v>102</v>
      </c>
      <c r="D209" s="320"/>
      <c r="E209" s="320"/>
      <c r="F209" s="320"/>
      <c r="G209" s="320"/>
      <c r="H209" s="320"/>
      <c r="I209" s="320"/>
      <c r="J209" s="320"/>
      <c r="K209" s="320"/>
      <c r="O209" s="320" t="s">
        <v>102</v>
      </c>
      <c r="P209" s="320"/>
      <c r="Q209" s="320"/>
      <c r="R209" s="320"/>
      <c r="S209" s="320"/>
      <c r="T209" s="320"/>
      <c r="U209" s="320"/>
      <c r="V209" s="320"/>
    </row>
  </sheetData>
  <mergeCells count="286">
    <mergeCell ref="C137:U137"/>
    <mergeCell ref="C119:W119"/>
    <mergeCell ref="K133:Q133"/>
    <mergeCell ref="K134:Q134"/>
    <mergeCell ref="K135:Q135"/>
    <mergeCell ref="K136:Q136"/>
    <mergeCell ref="K126:Q126"/>
    <mergeCell ref="D125:I126"/>
    <mergeCell ref="K125:U125"/>
    <mergeCell ref="C125:C126"/>
    <mergeCell ref="K127:Q127"/>
    <mergeCell ref="K128:Q128"/>
    <mergeCell ref="K129:Q129"/>
    <mergeCell ref="K130:Q130"/>
    <mergeCell ref="K131:Q131"/>
    <mergeCell ref="K132:Q132"/>
    <mergeCell ref="A1:U1"/>
    <mergeCell ref="A2:U2"/>
    <mergeCell ref="N12:O13"/>
    <mergeCell ref="P12:P13"/>
    <mergeCell ref="M13:M14"/>
    <mergeCell ref="D12:M12"/>
    <mergeCell ref="E71:H71"/>
    <mergeCell ref="E72:H72"/>
    <mergeCell ref="E73:H73"/>
    <mergeCell ref="C60:V60"/>
    <mergeCell ref="M66:O66"/>
    <mergeCell ref="M67:M68"/>
    <mergeCell ref="N67:N68"/>
    <mergeCell ref="O67:O68"/>
    <mergeCell ref="P66:R66"/>
    <mergeCell ref="R67:R68"/>
    <mergeCell ref="S66:T66"/>
    <mergeCell ref="S67:S68"/>
    <mergeCell ref="Q67:Q68"/>
    <mergeCell ref="U66:U68"/>
    <mergeCell ref="P67:P68"/>
    <mergeCell ref="T67:T68"/>
    <mergeCell ref="E69:H69"/>
    <mergeCell ref="E70:H70"/>
    <mergeCell ref="C26:O26"/>
    <mergeCell ref="V35:W37"/>
    <mergeCell ref="R35:S37"/>
    <mergeCell ref="T35:U37"/>
    <mergeCell ref="K13:L13"/>
    <mergeCell ref="C12:C14"/>
    <mergeCell ref="D13:D14"/>
    <mergeCell ref="E13:E14"/>
    <mergeCell ref="F13:F14"/>
    <mergeCell ref="G13:G14"/>
    <mergeCell ref="D27:J27"/>
    <mergeCell ref="D28:J28"/>
    <mergeCell ref="D29:J29"/>
    <mergeCell ref="C30:O30"/>
    <mergeCell ref="C34:C38"/>
    <mergeCell ref="D34:N34"/>
    <mergeCell ref="O34:S34"/>
    <mergeCell ref="T34:W34"/>
    <mergeCell ref="L27:O27"/>
    <mergeCell ref="L28:O28"/>
    <mergeCell ref="L29:O29"/>
    <mergeCell ref="X34:X38"/>
    <mergeCell ref="D35:D38"/>
    <mergeCell ref="E35:J38"/>
    <mergeCell ref="K35:K38"/>
    <mergeCell ref="L35:L37"/>
    <mergeCell ref="E39:J39"/>
    <mergeCell ref="E40:J40"/>
    <mergeCell ref="E41:J41"/>
    <mergeCell ref="E42:J42"/>
    <mergeCell ref="E43:J43"/>
    <mergeCell ref="M35:M37"/>
    <mergeCell ref="N35:N37"/>
    <mergeCell ref="O35:P37"/>
    <mergeCell ref="Q35:Q38"/>
    <mergeCell ref="E44:J44"/>
    <mergeCell ref="E45:J45"/>
    <mergeCell ref="C46:W46"/>
    <mergeCell ref="C49:C51"/>
    <mergeCell ref="D49:D51"/>
    <mergeCell ref="E49:H51"/>
    <mergeCell ref="I49:I51"/>
    <mergeCell ref="J49:J50"/>
    <mergeCell ref="K49:K51"/>
    <mergeCell ref="L49:L51"/>
    <mergeCell ref="M49:M51"/>
    <mergeCell ref="Q50:R50"/>
    <mergeCell ref="S50:U50"/>
    <mergeCell ref="N49:N51"/>
    <mergeCell ref="O49:P49"/>
    <mergeCell ref="Q49:V49"/>
    <mergeCell ref="V50:V51"/>
    <mergeCell ref="W49:W51"/>
    <mergeCell ref="O50:O51"/>
    <mergeCell ref="C98:C101"/>
    <mergeCell ref="D98:G101"/>
    <mergeCell ref="H98:H101"/>
    <mergeCell ref="I98:I101"/>
    <mergeCell ref="J98:Q98"/>
    <mergeCell ref="C84:C88"/>
    <mergeCell ref="D84:N84"/>
    <mergeCell ref="T84:T88"/>
    <mergeCell ref="D85:D88"/>
    <mergeCell ref="E85:K88"/>
    <mergeCell ref="O84:Q84"/>
    <mergeCell ref="Q85:Q88"/>
    <mergeCell ref="L85:L88"/>
    <mergeCell ref="M85:M87"/>
    <mergeCell ref="N85:N87"/>
    <mergeCell ref="O85:P87"/>
    <mergeCell ref="R84:S87"/>
    <mergeCell ref="C94:S94"/>
    <mergeCell ref="P50:P51"/>
    <mergeCell ref="E52:H52"/>
    <mergeCell ref="E53:H53"/>
    <mergeCell ref="E58:H58"/>
    <mergeCell ref="E59:H59"/>
    <mergeCell ref="E89:K89"/>
    <mergeCell ref="E90:K90"/>
    <mergeCell ref="E91:K91"/>
    <mergeCell ref="E92:K92"/>
    <mergeCell ref="E54:H54"/>
    <mergeCell ref="E55:H55"/>
    <mergeCell ref="E56:H56"/>
    <mergeCell ref="E57:H57"/>
    <mergeCell ref="E80:H80"/>
    <mergeCell ref="C81:T81"/>
    <mergeCell ref="C66:C68"/>
    <mergeCell ref="D66:D68"/>
    <mergeCell ref="E66:H68"/>
    <mergeCell ref="I66:I68"/>
    <mergeCell ref="J66:J67"/>
    <mergeCell ref="K66:K68"/>
    <mergeCell ref="L66:L68"/>
    <mergeCell ref="E74:H74"/>
    <mergeCell ref="E79:H79"/>
    <mergeCell ref="D103:G103"/>
    <mergeCell ref="D104:G104"/>
    <mergeCell ref="D105:G105"/>
    <mergeCell ref="D106:G106"/>
    <mergeCell ref="D107:G107"/>
    <mergeCell ref="W98:W101"/>
    <mergeCell ref="X98:X101"/>
    <mergeCell ref="J99:Q99"/>
    <mergeCell ref="J100:J101"/>
    <mergeCell ref="K100:K101"/>
    <mergeCell ref="L100:L101"/>
    <mergeCell ref="M100:M101"/>
    <mergeCell ref="N100:N101"/>
    <mergeCell ref="O100:O101"/>
    <mergeCell ref="P100:P101"/>
    <mergeCell ref="R98:V99"/>
    <mergeCell ref="Q100:Q101"/>
    <mergeCell ref="R100:V100"/>
    <mergeCell ref="D102:G102"/>
    <mergeCell ref="C108:W108"/>
    <mergeCell ref="C111:C112"/>
    <mergeCell ref="X111:X112"/>
    <mergeCell ref="S112:T112"/>
    <mergeCell ref="M113:N113"/>
    <mergeCell ref="M114:N114"/>
    <mergeCell ref="P113:Q113"/>
    <mergeCell ref="P114:Q114"/>
    <mergeCell ref="K113:L113"/>
    <mergeCell ref="D113:J113"/>
    <mergeCell ref="D114:J114"/>
    <mergeCell ref="K114:L114"/>
    <mergeCell ref="M111:W111"/>
    <mergeCell ref="M112:N112"/>
    <mergeCell ref="P112:Q112"/>
    <mergeCell ref="D111:J112"/>
    <mergeCell ref="K111:L112"/>
    <mergeCell ref="M115:N115"/>
    <mergeCell ref="M116:N116"/>
    <mergeCell ref="P115:Q115"/>
    <mergeCell ref="P116:Q116"/>
    <mergeCell ref="D115:J115"/>
    <mergeCell ref="D116:J116"/>
    <mergeCell ref="V125:V126"/>
    <mergeCell ref="M117:N117"/>
    <mergeCell ref="M118:N118"/>
    <mergeCell ref="P117:Q117"/>
    <mergeCell ref="P118:Q118"/>
    <mergeCell ref="J125:J126"/>
    <mergeCell ref="D117:J117"/>
    <mergeCell ref="D118:J118"/>
    <mergeCell ref="K115:L115"/>
    <mergeCell ref="K116:L116"/>
    <mergeCell ref="K117:L117"/>
    <mergeCell ref="K118:L118"/>
    <mergeCell ref="U141:U144"/>
    <mergeCell ref="M143:M144"/>
    <mergeCell ref="N143:N144"/>
    <mergeCell ref="O143:O144"/>
    <mergeCell ref="P143:P144"/>
    <mergeCell ref="Q143:Q144"/>
    <mergeCell ref="R143:R144"/>
    <mergeCell ref="S143:S144"/>
    <mergeCell ref="C141:C144"/>
    <mergeCell ref="D141:G144"/>
    <mergeCell ref="H141:H144"/>
    <mergeCell ref="I141:I144"/>
    <mergeCell ref="J141:K144"/>
    <mergeCell ref="D148:G148"/>
    <mergeCell ref="J148:K148"/>
    <mergeCell ref="D149:G149"/>
    <mergeCell ref="J149:K149"/>
    <mergeCell ref="D150:G150"/>
    <mergeCell ref="J150:K150"/>
    <mergeCell ref="T143:T144"/>
    <mergeCell ref="D145:G145"/>
    <mergeCell ref="J145:K145"/>
    <mergeCell ref="D146:G146"/>
    <mergeCell ref="J146:K146"/>
    <mergeCell ref="D147:G147"/>
    <mergeCell ref="J147:K147"/>
    <mergeCell ref="L141:L144"/>
    <mergeCell ref="M141:T142"/>
    <mergeCell ref="C151:T151"/>
    <mergeCell ref="C155:C157"/>
    <mergeCell ref="D155:J157"/>
    <mergeCell ref="K155:S155"/>
    <mergeCell ref="T155:T157"/>
    <mergeCell ref="U155:U157"/>
    <mergeCell ref="K156:M156"/>
    <mergeCell ref="N156:P156"/>
    <mergeCell ref="Q156:S156"/>
    <mergeCell ref="M170:O170"/>
    <mergeCell ref="D171:E171"/>
    <mergeCell ref="G171:L171"/>
    <mergeCell ref="M171:O171"/>
    <mergeCell ref="C165:T165"/>
    <mergeCell ref="C168:C169"/>
    <mergeCell ref="D168:O168"/>
    <mergeCell ref="P168:W168"/>
    <mergeCell ref="X168:X169"/>
    <mergeCell ref="D169:E169"/>
    <mergeCell ref="G169:L169"/>
    <mergeCell ref="M169:O169"/>
    <mergeCell ref="D170:E170"/>
    <mergeCell ref="G170:L170"/>
    <mergeCell ref="C208:K208"/>
    <mergeCell ref="O208:V208"/>
    <mergeCell ref="C209:K209"/>
    <mergeCell ref="O209:V209"/>
    <mergeCell ref="O199:V199"/>
    <mergeCell ref="I201:M201"/>
    <mergeCell ref="O203:V204"/>
    <mergeCell ref="C204:N204"/>
    <mergeCell ref="C205:K206"/>
    <mergeCell ref="O205:V206"/>
    <mergeCell ref="C207:K207"/>
    <mergeCell ref="O207:V207"/>
    <mergeCell ref="E196:G196"/>
    <mergeCell ref="O196:V197"/>
    <mergeCell ref="E197:L197"/>
    <mergeCell ref="E198:F198"/>
    <mergeCell ref="G198:N198"/>
    <mergeCell ref="O198:V198"/>
    <mergeCell ref="D189:L189"/>
    <mergeCell ref="O189:V192"/>
    <mergeCell ref="D190:L190"/>
    <mergeCell ref="D191:L191"/>
    <mergeCell ref="D192:L192"/>
    <mergeCell ref="C193:L193"/>
    <mergeCell ref="D181:L181"/>
    <mergeCell ref="C182:L182"/>
    <mergeCell ref="D186:L186"/>
    <mergeCell ref="D187:L187"/>
    <mergeCell ref="O187:W187"/>
    <mergeCell ref="D188:L188"/>
    <mergeCell ref="O188:W188"/>
    <mergeCell ref="E195:G195"/>
    <mergeCell ref="O195:V195"/>
    <mergeCell ref="D174:E174"/>
    <mergeCell ref="G174:L174"/>
    <mergeCell ref="M174:O174"/>
    <mergeCell ref="C175:W175"/>
    <mergeCell ref="D179:L179"/>
    <mergeCell ref="D180:L180"/>
    <mergeCell ref="D172:E172"/>
    <mergeCell ref="G172:L172"/>
    <mergeCell ref="M172:O172"/>
    <mergeCell ref="D173:E173"/>
    <mergeCell ref="G173:L173"/>
    <mergeCell ref="M173:O173"/>
  </mergeCells>
  <phoneticPr fontId="25" type="noConversion"/>
  <conditionalFormatting sqref="D187:L187">
    <cfRule type="cellIs" dxfId="1" priority="1" operator="notEqual">
      <formula>"""ภาระงานสอน"""</formula>
    </cfRule>
  </conditionalFormatting>
  <dataValidations count="13">
    <dataValidation type="list" allowBlank="1" showInputMessage="1" showErrorMessage="1" sqref="I6:L6" xr:uid="{9C23081F-B5D5-45D2-8D32-8282920B386F}">
      <formula1>ตำแหน่งวิชาการ</formula1>
    </dataValidation>
    <dataValidation type="list" allowBlank="1" showInputMessage="1" showErrorMessage="1" sqref="K27:K29 N89:N93 J102:W107 K158:S164 P170:W174 D195:D198 E203 I203 M145:T150 M42:M45 S127:S136" xr:uid="{042040CB-9CAD-4917-8B33-B3979368F145}">
      <formula1>"ü"</formula1>
    </dataValidation>
    <dataValidation type="list" allowBlank="1" showInputMessage="1" showErrorMessage="1" sqref="P113:P118" xr:uid="{8ED262D4-05BB-447D-8BAE-72F5683F893F}">
      <formula1>ผลงานอื่น_2</formula1>
    </dataValidation>
    <dataValidation type="list" allowBlank="1" showInputMessage="1" showErrorMessage="1" sqref="M113:M118" xr:uid="{29907297-E201-40B9-8F93-C35E1336E577}">
      <formula1>ผลงานอื่น_1</formula1>
    </dataValidation>
    <dataValidation type="list" allowBlank="1" showInputMessage="1" showErrorMessage="1" sqref="N39:N45 I15:I25" xr:uid="{DB6B2480-7A75-406F-8714-72803662E7D4}">
      <formula1>"มี,ไม่มี"</formula1>
    </dataValidation>
    <dataValidation type="list" allowBlank="1" showInputMessage="1" showErrorMessage="1" sqref="M39:M41 J15:J25" xr:uid="{4FE4CDCF-B35A-46DC-B877-2189087EEF27}">
      <formula1>"ใช่,ไม่ใช่"</formula1>
    </dataValidation>
    <dataValidation type="list" allowBlank="1" showInputMessage="1" showErrorMessage="1" sqref="M69:M80 M52:M59" xr:uid="{41895934-1876-430C-B694-D256ABF76474}">
      <formula1>"หลัก,ร่วม"</formula1>
    </dataValidation>
    <dataValidation type="list" allowBlank="1" showInputMessage="1" showErrorMessage="1" sqref="P69:Q80 N69:N80" xr:uid="{C2BE72D2-5368-467B-A18F-FB526B6AA4FE}">
      <formula1>"ค้นคว้าอิสระ/สาระนิพนธ์,วิทยานิพนธ์,ดุษฎีนิพนธ์"</formula1>
    </dataValidation>
    <dataValidation type="list" allowBlank="1" showInputMessage="1" showErrorMessage="1" sqref="T113:T118" xr:uid="{5C70C6F3-1C6B-4642-9EB0-A3ADC3E70D9C}">
      <formula1>"อันดับแรก/บรรณกิจ,อื่นๆ"</formula1>
    </dataValidation>
    <dataValidation type="list" allowBlank="1" showInputMessage="1" showErrorMessage="1" sqref="S113:S118" xr:uid="{58DD6EFF-FB30-4E77-A544-EF446441632F}">
      <formula1>"ชาติ,นานาชาติ"</formula1>
    </dataValidation>
    <dataValidation type="list" allowBlank="1" showInputMessage="1" showErrorMessage="1" sqref="V113:V118" xr:uid="{6AD8E915-1ED2-44A7-ADF5-9E4A947FFCB6}">
      <formula1>"จดอนุสิทธิบัตร,จดสิทธิบัตร,รางวัลระดับชาติ,รางวัลระดับนานาชาติ"</formula1>
    </dataValidation>
    <dataValidation type="list" allowBlank="1" showInputMessage="1" showErrorMessage="1" sqref="BC125:BC136 K127:K136" xr:uid="{B98A3F1B-7AA0-4816-8F88-73AB3D04F529}">
      <formula1>บริการวิชาการ</formula1>
    </dataValidation>
    <dataValidation type="list" allowBlank="1" showInputMessage="1" showErrorMessage="1" sqref="T127:T136" xr:uid="{65983F6E-128F-4D97-A144-0B759164FE97}">
      <formula1>"ผู้ดำเนินโครงการ,ผู้เข้าร่วม"</formula1>
    </dataValidation>
  </dataValidations>
  <printOptions horizontalCentered="1"/>
  <pageMargins left="0.15748031496062992" right="0.15748031496062992" top="0.35433070866141736" bottom="0.31496062992125984" header="0.15748031496062992" footer="0.15748031496062992"/>
  <pageSetup paperSize="9" scale="31" fitToHeight="6" orientation="landscape" r:id="rId1"/>
  <headerFooter>
    <oddHeader>&amp;R&amp;P</oddHeader>
    <oddFooter>&amp;R&amp;D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B83B506-6ED3-4C5F-A475-1229D76D206F}">
          <x14:formula1>
            <xm:f>การนับภารกิจ!$R$4:$R$15</xm:f>
          </x14:formula1>
          <xm:sqref>S6:V6</xm:sqref>
        </x14:dataValidation>
        <x14:dataValidation type="list" allowBlank="1" showInputMessage="1" showErrorMessage="1" xr:uid="{81B09B8E-7119-4DAC-BA50-59C49BF7868C}">
          <x14:formula1>
            <xm:f>การนับภารกิจ!$M$4:$M$32</xm:f>
          </x14:formula1>
          <xm:sqref>S5:V5</xm:sqref>
        </x14:dataValidation>
        <x14:dataValidation type="list" allowBlank="1" showInputMessage="1" showErrorMessage="1" xr:uid="{0EB34156-52AA-45F2-99F5-51E16DB18D51}">
          <x14:formula1>
            <xm:f>การนับภารกิจ!$R$18:$R$20</xm:f>
          </x14:formula1>
          <xm:sqref>D15:D25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B5F1-22CB-48D6-87DD-C6B21590F443}">
  <sheetPr>
    <pageSetUpPr fitToPage="1"/>
  </sheetPr>
  <dimension ref="A1:BP209"/>
  <sheetViews>
    <sheetView topLeftCell="Z67" zoomScaleNormal="100" workbookViewId="0">
      <selection activeCell="BL87" sqref="BL87:BL90"/>
    </sheetView>
  </sheetViews>
  <sheetFormatPr defaultColWidth="9.140625" defaultRowHeight="12.75"/>
  <cols>
    <col min="1" max="1" width="3" style="1" customWidth="1"/>
    <col min="2" max="2" width="1.7109375" style="1" customWidth="1"/>
    <col min="3" max="3" width="5" style="1" customWidth="1"/>
    <col min="4" max="4" width="9" style="1" customWidth="1"/>
    <col min="5" max="5" width="7.5703125" style="1" customWidth="1"/>
    <col min="6" max="6" width="15.28515625" style="1" customWidth="1"/>
    <col min="7" max="7" width="6.42578125" style="1" customWidth="1"/>
    <col min="8" max="8" width="8.28515625" style="1" customWidth="1"/>
    <col min="9" max="10" width="7.28515625" style="1" customWidth="1"/>
    <col min="11" max="11" width="7.140625" style="1" customWidth="1"/>
    <col min="12" max="12" width="8.42578125" style="1" customWidth="1"/>
    <col min="13" max="13" width="7.28515625" style="1" customWidth="1"/>
    <col min="14" max="14" width="7.140625" style="1" customWidth="1"/>
    <col min="15" max="15" width="7.7109375" style="1" customWidth="1"/>
    <col min="16" max="16" width="10.28515625" style="1" customWidth="1"/>
    <col min="17" max="17" width="11" style="1" customWidth="1"/>
    <col min="18" max="18" width="6.28515625" style="1" customWidth="1"/>
    <col min="19" max="19" width="7.5703125" style="1" customWidth="1"/>
    <col min="20" max="20" width="6.28515625" style="1" customWidth="1"/>
    <col min="21" max="21" width="7.28515625" style="1" customWidth="1"/>
    <col min="22" max="23" width="7.42578125" style="1" customWidth="1"/>
    <col min="24" max="24" width="7" style="1" customWidth="1"/>
    <col min="25" max="25" width="6.85546875" style="1" customWidth="1"/>
    <col min="26" max="26" width="7.140625" style="1" customWidth="1"/>
    <col min="27" max="48" width="7.140625" style="1" hidden="1" customWidth="1"/>
    <col min="49" max="52" width="7.140625" style="1" customWidth="1"/>
    <col min="53" max="55" width="9.140625" style="1" customWidth="1"/>
    <col min="56" max="56" width="1.7109375" style="1" customWidth="1"/>
    <col min="57" max="57" width="4.5703125" style="1" customWidth="1"/>
    <col min="58" max="59" width="5.140625" style="1" customWidth="1"/>
    <col min="60" max="60" width="6.85546875" style="1" customWidth="1"/>
    <col min="61" max="77" width="9.140625" style="1" customWidth="1"/>
    <col min="78" max="16384" width="9.140625" style="1"/>
  </cols>
  <sheetData>
    <row r="1" spans="1:66">
      <c r="A1" s="518" t="s">
        <v>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</row>
    <row r="2" spans="1:66" ht="13.5" thickBot="1">
      <c r="A2" s="518" t="s">
        <v>1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66" ht="13.5" thickBot="1">
      <c r="A3" s="2"/>
      <c r="F3" s="49"/>
      <c r="G3" s="1" t="s">
        <v>2</v>
      </c>
      <c r="K3" s="49" t="s">
        <v>65</v>
      </c>
      <c r="L3" s="1" t="s">
        <v>3</v>
      </c>
      <c r="P3" s="1" t="s">
        <v>4</v>
      </c>
      <c r="R3" s="50"/>
    </row>
    <row r="5" spans="1:66">
      <c r="D5" s="7" t="s">
        <v>5</v>
      </c>
      <c r="I5" s="542">
        <v>12345439</v>
      </c>
      <c r="J5" s="543"/>
      <c r="K5" s="543"/>
      <c r="L5" s="543"/>
      <c r="M5" s="7"/>
      <c r="N5" s="7" t="s">
        <v>8</v>
      </c>
      <c r="O5" s="7"/>
      <c r="P5" s="7"/>
      <c r="Q5" s="7"/>
      <c r="R5" s="7"/>
      <c r="S5" s="543"/>
      <c r="T5" s="543"/>
      <c r="U5" s="543"/>
      <c r="V5" s="543"/>
    </row>
    <row r="6" spans="1:66">
      <c r="D6" s="7" t="s">
        <v>143</v>
      </c>
      <c r="I6" s="544"/>
      <c r="J6" s="544"/>
      <c r="K6" s="544"/>
      <c r="L6" s="544"/>
      <c r="M6" s="7"/>
      <c r="N6" s="7" t="s">
        <v>64</v>
      </c>
      <c r="O6" s="7"/>
      <c r="P6" s="7"/>
      <c r="Q6" s="7"/>
      <c r="R6" s="7"/>
      <c r="S6" s="544" t="s">
        <v>114</v>
      </c>
      <c r="T6" s="544"/>
      <c r="U6" s="544"/>
      <c r="V6" s="544"/>
    </row>
    <row r="7" spans="1:66">
      <c r="D7" s="7" t="s">
        <v>6</v>
      </c>
      <c r="I7" s="545"/>
      <c r="J7" s="545"/>
      <c r="K7" s="545"/>
      <c r="L7" s="545"/>
      <c r="N7" s="1" t="s">
        <v>63</v>
      </c>
      <c r="S7" s="545"/>
      <c r="T7" s="545"/>
      <c r="U7" s="545"/>
      <c r="V7" s="545"/>
    </row>
    <row r="8" spans="1:66">
      <c r="D8" s="7" t="s">
        <v>7</v>
      </c>
      <c r="I8" s="544"/>
      <c r="J8" s="544"/>
      <c r="K8" s="544"/>
      <c r="L8" s="544"/>
    </row>
    <row r="10" spans="1:66">
      <c r="A10" s="3" t="s">
        <v>9</v>
      </c>
    </row>
    <row r="11" spans="1:66">
      <c r="B11" s="4" t="s">
        <v>201</v>
      </c>
    </row>
    <row r="12" spans="1:66" ht="14.25" customHeight="1">
      <c r="C12" s="318" t="s">
        <v>10</v>
      </c>
      <c r="D12" s="325" t="s">
        <v>171</v>
      </c>
      <c r="E12" s="326"/>
      <c r="F12" s="326"/>
      <c r="G12" s="326"/>
      <c r="H12" s="326"/>
      <c r="I12" s="326"/>
      <c r="J12" s="326"/>
      <c r="K12" s="326"/>
      <c r="L12" s="326"/>
      <c r="M12" s="327"/>
      <c r="N12" s="519" t="s">
        <v>441</v>
      </c>
      <c r="O12" s="520"/>
      <c r="P12" s="523" t="s">
        <v>181</v>
      </c>
    </row>
    <row r="13" spans="1:66" ht="76.5" customHeight="1">
      <c r="C13" s="318"/>
      <c r="D13" s="513" t="s">
        <v>433</v>
      </c>
      <c r="E13" s="318" t="s">
        <v>11</v>
      </c>
      <c r="F13" s="318" t="s">
        <v>13</v>
      </c>
      <c r="G13" s="318" t="s">
        <v>12</v>
      </c>
      <c r="H13" s="43" t="s">
        <v>183</v>
      </c>
      <c r="I13" s="172" t="s">
        <v>182</v>
      </c>
      <c r="J13" s="173" t="s">
        <v>438</v>
      </c>
      <c r="K13" s="512" t="s">
        <v>381</v>
      </c>
      <c r="L13" s="512"/>
      <c r="M13" s="525" t="s">
        <v>15</v>
      </c>
      <c r="N13" s="521"/>
      <c r="O13" s="522"/>
      <c r="P13" s="524"/>
      <c r="BC13" s="133" t="s">
        <v>183</v>
      </c>
      <c r="BE13" s="1" t="s">
        <v>446</v>
      </c>
      <c r="BG13" s="1" t="s">
        <v>447</v>
      </c>
      <c r="BI13" s="1" t="s">
        <v>448</v>
      </c>
      <c r="BL13" s="1" t="s">
        <v>446</v>
      </c>
      <c r="BM13" s="1" t="s">
        <v>447</v>
      </c>
      <c r="BN13" s="1" t="s">
        <v>448</v>
      </c>
    </row>
    <row r="14" spans="1:66">
      <c r="C14" s="318"/>
      <c r="D14" s="513"/>
      <c r="E14" s="318"/>
      <c r="F14" s="318"/>
      <c r="G14" s="318"/>
      <c r="H14" s="36" t="s">
        <v>437</v>
      </c>
      <c r="I14" s="148" t="s">
        <v>200</v>
      </c>
      <c r="J14" s="148" t="s">
        <v>439</v>
      </c>
      <c r="K14" s="36" t="s">
        <v>46</v>
      </c>
      <c r="L14" s="36" t="s">
        <v>440</v>
      </c>
      <c r="M14" s="526"/>
      <c r="N14" s="142" t="s">
        <v>46</v>
      </c>
      <c r="O14" s="142" t="s">
        <v>440</v>
      </c>
      <c r="P14" s="143"/>
      <c r="BC14" s="36"/>
      <c r="BE14" s="1" t="s">
        <v>342</v>
      </c>
      <c r="BF14" s="1" t="s">
        <v>341</v>
      </c>
      <c r="BG14" s="1" t="s">
        <v>342</v>
      </c>
      <c r="BH14" s="1" t="s">
        <v>341</v>
      </c>
      <c r="BI14" s="1" t="s">
        <v>342</v>
      </c>
      <c r="BK14" s="1" t="s">
        <v>341</v>
      </c>
    </row>
    <row r="15" spans="1:66">
      <c r="C15" s="12">
        <v>1</v>
      </c>
      <c r="D15" s="129" t="s">
        <v>434</v>
      </c>
      <c r="E15" s="5" t="s">
        <v>442</v>
      </c>
      <c r="F15" s="12" t="s">
        <v>443</v>
      </c>
      <c r="G15" s="5">
        <v>1</v>
      </c>
      <c r="H15" s="5" t="s">
        <v>444</v>
      </c>
      <c r="I15" s="129" t="s">
        <v>342</v>
      </c>
      <c r="J15" s="129" t="s">
        <v>445</v>
      </c>
      <c r="K15" s="12">
        <v>45</v>
      </c>
      <c r="L15" s="12"/>
      <c r="M15" s="12">
        <v>30</v>
      </c>
      <c r="N15" s="145">
        <f>IF(K15="",0,IF(AND(D15=$BE$27,I15=$BG$27),BE15,IF(AND(D15=$BE$27,I15=$BG$28),BF15,IF(AND(D15=$BE$28,I15=$BG$27),BG15,IF(AND(D15=$BE$28,I15=$BG$28),BH15,IF(AND(D15=$BE$29,I15=$BG$27),BI15,BJ15))))))</f>
        <v>6</v>
      </c>
      <c r="O15" s="145">
        <f>+IF(L15="",0,L15/15*1.5)</f>
        <v>0</v>
      </c>
      <c r="P15" s="144">
        <f>SUM(N15:O15)</f>
        <v>6</v>
      </c>
      <c r="BC15" s="5" t="str">
        <f t="shared" ref="BC15:BC25" si="0">+LEFT(H15,1)</f>
        <v>3</v>
      </c>
      <c r="BE15" s="1">
        <f>IF(M15&lt;=30,K15/15*2,((K15/15*2)+(M15-30)*(VLOOKUP(BC15,$BK$16:$BM$19,2,FALSE))))</f>
        <v>6</v>
      </c>
      <c r="BF15" s="1">
        <f>IF(M15&lt;=30,K15/15*2.5,((K15/15*2.5)+(M15-30)*(VLOOKUP(BC15,$BK$20:$BM$23,2,FALSE))))</f>
        <v>7.5</v>
      </c>
      <c r="BG15" s="1">
        <f>IF(M15&lt;=30,K15/15*3,((K15/15*3)+(M15-30)*(VLOOKUP(BC15,$BK$16:$BM$19,3,FALSE))))</f>
        <v>9</v>
      </c>
      <c r="BH15" s="1">
        <f>IF(M15&lt;=30,K15/15*3.5,((K15/15*3.5)+(M15-30)*(VLOOKUP(BC15,$BK$20:$BM$23,3,FALSE))))</f>
        <v>10.5</v>
      </c>
      <c r="BI15" s="1">
        <f>IF(M15&lt;=30,K15/15*4,((K15/15*4)+(M15-30)*(VLOOKUP(BC15,$BK$16:$BN$19,4,FALSE))))</f>
        <v>12</v>
      </c>
      <c r="BJ15" s="1">
        <f>IF(M15&lt;=30,K15/15*4.5,((K15/15*4.5)+(M15-30)*(VLOOKUP(BC15,$BK$20:$BN$23,4,FALSE))))</f>
        <v>13.5</v>
      </c>
    </row>
    <row r="16" spans="1:66">
      <c r="C16" s="12">
        <v>2</v>
      </c>
      <c r="D16" s="129" t="s">
        <v>434</v>
      </c>
      <c r="E16" s="5" t="s">
        <v>449</v>
      </c>
      <c r="F16" s="12" t="s">
        <v>443</v>
      </c>
      <c r="G16" s="5">
        <v>1</v>
      </c>
      <c r="H16" s="5" t="s">
        <v>450</v>
      </c>
      <c r="I16" s="129" t="s">
        <v>342</v>
      </c>
      <c r="J16" s="129" t="s">
        <v>453</v>
      </c>
      <c r="K16" s="12">
        <v>15</v>
      </c>
      <c r="L16" s="12"/>
      <c r="M16" s="12">
        <v>30</v>
      </c>
      <c r="N16" s="145">
        <f t="shared" ref="N16:N25" si="1">IF(K16="",0,IF(AND(D16=$BE$27,I16=$BG$27),BE16,IF(AND(D16=$BE$27,I16=$BG$28),BF16,IF(AND(D16=$BE$28,I16=$BG$27),BG16,IF(AND(D16=$BE$28,I16=$BG$28),BH16,IF(AND(D16=$BE$29,I16=$BG$27),BI16,BJ16))))))</f>
        <v>2</v>
      </c>
      <c r="O16" s="145">
        <f t="shared" ref="O16:O25" si="2">+IF(L16="",0,L16/15*1.5)</f>
        <v>0</v>
      </c>
      <c r="P16" s="144">
        <f t="shared" ref="P16:P25" si="3">SUM(N16:O16)</f>
        <v>2</v>
      </c>
      <c r="BC16" s="5" t="str">
        <f t="shared" si="0"/>
        <v>3</v>
      </c>
      <c r="BE16" s="1">
        <f t="shared" ref="BE16:BE25" si="4">IF(M16&lt;=30,K16/15*2,((K16/15*2)+(M16-30)*(VLOOKUP(BC16,$BK$16:$BM$19,2,FALSE))))</f>
        <v>2</v>
      </c>
      <c r="BF16" s="1">
        <f t="shared" ref="BF16:BF25" si="5">IF(M16&lt;=30,K16/15*2.5,((K16/15*2.5)+(M16-30)*(VLOOKUP(BC16,$BK$20:$BM$23,2,FALSE))))</f>
        <v>2.5</v>
      </c>
      <c r="BG16" s="1">
        <f t="shared" ref="BG16:BG25" si="6">IF(M16&lt;=30,K16/15*3,((K16/15*3)+(M16-30)*(VLOOKUP(BC16,$BK$16:$BM$19,3,FALSE))))</f>
        <v>3</v>
      </c>
      <c r="BH16" s="1">
        <f t="shared" ref="BH16:BH25" si="7">IF(M16&lt;=30,K16/15*3.5,((K16/15*3.5)+(M16-30)*(VLOOKUP(BC16,$BK$20:$BM$23,3,FALSE))))</f>
        <v>3.5</v>
      </c>
      <c r="BI16" s="1">
        <f t="shared" ref="BI16:BI25" si="8">IF(M16&lt;=30,K16/15*4,((K16/15*4)+(M16-30)*(VLOOKUP(BC16,$BK$16:$BN$19,4,FALSE))))</f>
        <v>4</v>
      </c>
      <c r="BJ16" s="1">
        <f t="shared" ref="BJ16:BJ25" si="9">IF(M16&lt;=30,K16/15*4.5,((K16/15*4.5)+(M16-30)*(VLOOKUP(BC16,$BK$20:$BN$23,4,FALSE))))</f>
        <v>4.5</v>
      </c>
      <c r="BK16" s="134" t="str">
        <f>+LEFT(BC27,1)</f>
        <v>1</v>
      </c>
      <c r="BL16" s="134">
        <v>0.02</v>
      </c>
      <c r="BM16" s="134">
        <v>0.03</v>
      </c>
      <c r="BN16" s="134">
        <v>0.04</v>
      </c>
    </row>
    <row r="17" spans="3:66">
      <c r="C17" s="12">
        <v>3</v>
      </c>
      <c r="D17" s="129" t="s">
        <v>435</v>
      </c>
      <c r="E17" s="5" t="s">
        <v>451</v>
      </c>
      <c r="F17" s="12" t="s">
        <v>443</v>
      </c>
      <c r="G17" s="5">
        <v>1</v>
      </c>
      <c r="H17" s="5" t="s">
        <v>444</v>
      </c>
      <c r="I17" s="129" t="s">
        <v>342</v>
      </c>
      <c r="J17" s="129" t="s">
        <v>453</v>
      </c>
      <c r="K17" s="12">
        <v>45</v>
      </c>
      <c r="L17" s="12"/>
      <c r="M17" s="12">
        <v>31</v>
      </c>
      <c r="N17" s="145">
        <f t="shared" si="1"/>
        <v>9.1</v>
      </c>
      <c r="O17" s="145">
        <f t="shared" si="2"/>
        <v>0</v>
      </c>
      <c r="P17" s="144">
        <f t="shared" si="3"/>
        <v>9.1</v>
      </c>
      <c r="BC17" s="5" t="str">
        <f t="shared" si="0"/>
        <v>3</v>
      </c>
      <c r="BE17" s="1">
        <f t="shared" si="4"/>
        <v>6.06</v>
      </c>
      <c r="BF17" s="1">
        <f t="shared" si="5"/>
        <v>7.58</v>
      </c>
      <c r="BG17" s="1">
        <f t="shared" si="6"/>
        <v>9.1</v>
      </c>
      <c r="BH17" s="1">
        <f t="shared" si="7"/>
        <v>10.62</v>
      </c>
      <c r="BI17" s="1">
        <f t="shared" si="8"/>
        <v>12.13</v>
      </c>
      <c r="BJ17" s="1">
        <f t="shared" si="9"/>
        <v>13.62</v>
      </c>
      <c r="BK17" s="134" t="str">
        <f t="shared" ref="BK17:BK19" si="10">+LEFT(BC28,1)</f>
        <v>2</v>
      </c>
      <c r="BL17" s="134">
        <v>0.04</v>
      </c>
      <c r="BM17" s="134">
        <v>7.0000000000000007E-2</v>
      </c>
      <c r="BN17" s="134">
        <v>0.09</v>
      </c>
    </row>
    <row r="18" spans="3:66">
      <c r="C18" s="12">
        <v>4</v>
      </c>
      <c r="D18" s="129" t="s">
        <v>436</v>
      </c>
      <c r="E18" s="5" t="s">
        <v>452</v>
      </c>
      <c r="F18" s="12" t="s">
        <v>443</v>
      </c>
      <c r="G18" s="5">
        <v>1</v>
      </c>
      <c r="H18" s="5" t="s">
        <v>444</v>
      </c>
      <c r="I18" s="129" t="s">
        <v>342</v>
      </c>
      <c r="J18" s="129" t="s">
        <v>445</v>
      </c>
      <c r="K18" s="12">
        <v>30</v>
      </c>
      <c r="L18" s="12">
        <v>30</v>
      </c>
      <c r="M18" s="12">
        <v>30</v>
      </c>
      <c r="N18" s="145">
        <f t="shared" si="1"/>
        <v>8</v>
      </c>
      <c r="O18" s="145">
        <f t="shared" si="2"/>
        <v>3</v>
      </c>
      <c r="P18" s="144">
        <f t="shared" si="3"/>
        <v>11</v>
      </c>
      <c r="BC18" s="5" t="str">
        <f t="shared" si="0"/>
        <v>3</v>
      </c>
      <c r="BE18" s="1">
        <f t="shared" si="4"/>
        <v>4</v>
      </c>
      <c r="BF18" s="1">
        <f t="shared" si="5"/>
        <v>5</v>
      </c>
      <c r="BG18" s="1">
        <f t="shared" si="6"/>
        <v>6</v>
      </c>
      <c r="BH18" s="1">
        <f t="shared" si="7"/>
        <v>7</v>
      </c>
      <c r="BI18" s="1">
        <f t="shared" si="8"/>
        <v>8</v>
      </c>
      <c r="BJ18" s="1">
        <f t="shared" si="9"/>
        <v>9</v>
      </c>
      <c r="BK18" s="134" t="str">
        <f t="shared" si="10"/>
        <v>3</v>
      </c>
      <c r="BL18" s="134">
        <v>0.06</v>
      </c>
      <c r="BM18" s="136">
        <v>0.1</v>
      </c>
      <c r="BN18" s="134">
        <v>0.13</v>
      </c>
    </row>
    <row r="19" spans="3:66">
      <c r="C19" s="12"/>
      <c r="D19" s="129" t="s">
        <v>434</v>
      </c>
      <c r="E19" s="5"/>
      <c r="F19" s="12"/>
      <c r="G19" s="5"/>
      <c r="H19" s="5" t="s">
        <v>444</v>
      </c>
      <c r="I19" s="129" t="s">
        <v>341</v>
      </c>
      <c r="J19" s="129" t="s">
        <v>445</v>
      </c>
      <c r="K19" s="12">
        <v>45</v>
      </c>
      <c r="L19" s="12"/>
      <c r="M19" s="12">
        <v>30</v>
      </c>
      <c r="N19" s="145">
        <f t="shared" si="1"/>
        <v>7.5</v>
      </c>
      <c r="O19" s="145">
        <f t="shared" si="2"/>
        <v>0</v>
      </c>
      <c r="P19" s="144">
        <f t="shared" si="3"/>
        <v>7.5</v>
      </c>
      <c r="BC19" s="5" t="str">
        <f t="shared" si="0"/>
        <v>3</v>
      </c>
      <c r="BE19" s="1">
        <f t="shared" si="4"/>
        <v>6</v>
      </c>
      <c r="BF19" s="1">
        <f t="shared" si="5"/>
        <v>7.5</v>
      </c>
      <c r="BG19" s="1">
        <f t="shared" si="6"/>
        <v>9</v>
      </c>
      <c r="BH19" s="1">
        <f t="shared" si="7"/>
        <v>10.5</v>
      </c>
      <c r="BI19" s="1">
        <f t="shared" si="8"/>
        <v>12</v>
      </c>
      <c r="BJ19" s="1">
        <f t="shared" si="9"/>
        <v>13.5</v>
      </c>
      <c r="BK19" s="134" t="str">
        <f t="shared" si="10"/>
        <v>4</v>
      </c>
      <c r="BL19" s="134">
        <v>0.08</v>
      </c>
      <c r="BM19" s="134">
        <v>0.13</v>
      </c>
      <c r="BN19" s="134">
        <v>0.17</v>
      </c>
    </row>
    <row r="20" spans="3:66">
      <c r="C20" s="12"/>
      <c r="D20" s="129" t="s">
        <v>434</v>
      </c>
      <c r="E20" s="5"/>
      <c r="F20" s="12"/>
      <c r="G20" s="5"/>
      <c r="H20" s="5" t="s">
        <v>444</v>
      </c>
      <c r="I20" s="129" t="s">
        <v>342</v>
      </c>
      <c r="J20" s="129" t="s">
        <v>445</v>
      </c>
      <c r="K20" s="12">
        <v>45</v>
      </c>
      <c r="L20" s="12"/>
      <c r="M20" s="12">
        <v>30</v>
      </c>
      <c r="N20" s="145">
        <f t="shared" si="1"/>
        <v>6</v>
      </c>
      <c r="O20" s="145">
        <f t="shared" si="2"/>
        <v>0</v>
      </c>
      <c r="P20" s="144">
        <f t="shared" si="3"/>
        <v>6</v>
      </c>
      <c r="BC20" s="5" t="str">
        <f t="shared" si="0"/>
        <v>3</v>
      </c>
      <c r="BE20" s="1">
        <f t="shared" si="4"/>
        <v>6</v>
      </c>
      <c r="BF20" s="1">
        <f t="shared" si="5"/>
        <v>7.5</v>
      </c>
      <c r="BG20" s="1">
        <f t="shared" si="6"/>
        <v>9</v>
      </c>
      <c r="BH20" s="1">
        <f t="shared" si="7"/>
        <v>10.5</v>
      </c>
      <c r="BI20" s="1">
        <f t="shared" si="8"/>
        <v>12</v>
      </c>
      <c r="BJ20" s="1">
        <f t="shared" si="9"/>
        <v>13.5</v>
      </c>
      <c r="BK20" s="134" t="str">
        <f>+LEFT($BC27,1)</f>
        <v>1</v>
      </c>
      <c r="BL20" s="135">
        <v>0.03</v>
      </c>
      <c r="BM20" s="135">
        <v>0.04</v>
      </c>
      <c r="BN20" s="135">
        <v>0.04</v>
      </c>
    </row>
    <row r="21" spans="3:66">
      <c r="C21" s="12"/>
      <c r="D21" s="129" t="s">
        <v>436</v>
      </c>
      <c r="E21" s="5"/>
      <c r="F21" s="12"/>
      <c r="G21" s="5"/>
      <c r="H21" s="5" t="s">
        <v>444</v>
      </c>
      <c r="I21" s="129" t="s">
        <v>342</v>
      </c>
      <c r="J21" s="129" t="s">
        <v>445</v>
      </c>
      <c r="K21" s="12">
        <v>45</v>
      </c>
      <c r="L21" s="12"/>
      <c r="M21" s="12">
        <v>31</v>
      </c>
      <c r="N21" s="145">
        <f t="shared" si="1"/>
        <v>12.13</v>
      </c>
      <c r="O21" s="145">
        <f t="shared" si="2"/>
        <v>0</v>
      </c>
      <c r="P21" s="144">
        <f t="shared" si="3"/>
        <v>12.13</v>
      </c>
      <c r="BC21" s="5" t="str">
        <f t="shared" si="0"/>
        <v>3</v>
      </c>
      <c r="BE21" s="1">
        <f t="shared" si="4"/>
        <v>6.06</v>
      </c>
      <c r="BF21" s="1">
        <f t="shared" si="5"/>
        <v>7.58</v>
      </c>
      <c r="BG21" s="1">
        <f t="shared" si="6"/>
        <v>9.1</v>
      </c>
      <c r="BH21" s="1">
        <f t="shared" si="7"/>
        <v>10.62</v>
      </c>
      <c r="BI21" s="1">
        <f t="shared" si="8"/>
        <v>12.13</v>
      </c>
      <c r="BJ21" s="1">
        <f t="shared" si="9"/>
        <v>13.62</v>
      </c>
      <c r="BK21" s="134" t="str">
        <f t="shared" ref="BK21:BK23" si="11">+LEFT($BC28,1)</f>
        <v>2</v>
      </c>
      <c r="BL21" s="135">
        <v>0.05</v>
      </c>
      <c r="BM21" s="135">
        <v>0.08</v>
      </c>
      <c r="BN21" s="135">
        <v>0.08</v>
      </c>
    </row>
    <row r="22" spans="3:66">
      <c r="C22" s="12"/>
      <c r="D22" s="129" t="s">
        <v>436</v>
      </c>
      <c r="E22" s="5"/>
      <c r="F22" s="12"/>
      <c r="G22" s="5"/>
      <c r="H22" s="5" t="s">
        <v>444</v>
      </c>
      <c r="I22" s="129" t="s">
        <v>342</v>
      </c>
      <c r="J22" s="129" t="s">
        <v>445</v>
      </c>
      <c r="K22" s="12">
        <v>45</v>
      </c>
      <c r="L22" s="12"/>
      <c r="M22" s="12">
        <v>35</v>
      </c>
      <c r="N22" s="145">
        <f t="shared" si="1"/>
        <v>12.65</v>
      </c>
      <c r="O22" s="145">
        <f t="shared" si="2"/>
        <v>0</v>
      </c>
      <c r="P22" s="144">
        <f t="shared" si="3"/>
        <v>12.65</v>
      </c>
      <c r="BC22" s="5" t="str">
        <f t="shared" si="0"/>
        <v>3</v>
      </c>
      <c r="BE22" s="1">
        <f t="shared" si="4"/>
        <v>6.3</v>
      </c>
      <c r="BF22" s="1">
        <f t="shared" si="5"/>
        <v>7.9</v>
      </c>
      <c r="BG22" s="1">
        <f t="shared" si="6"/>
        <v>9.5</v>
      </c>
      <c r="BH22" s="1">
        <f t="shared" si="7"/>
        <v>11.1</v>
      </c>
      <c r="BI22" s="1">
        <f t="shared" si="8"/>
        <v>12.65</v>
      </c>
      <c r="BJ22" s="1">
        <f t="shared" si="9"/>
        <v>14.1</v>
      </c>
      <c r="BK22" s="134" t="str">
        <f t="shared" si="11"/>
        <v>3</v>
      </c>
      <c r="BL22" s="135">
        <v>0.08</v>
      </c>
      <c r="BM22" s="135">
        <v>0.12</v>
      </c>
      <c r="BN22" s="135">
        <v>0.12</v>
      </c>
    </row>
    <row r="23" spans="3:66">
      <c r="C23" s="12"/>
      <c r="D23" s="129"/>
      <c r="E23" s="5"/>
      <c r="F23" s="12"/>
      <c r="G23" s="5"/>
      <c r="H23" s="5" t="s">
        <v>444</v>
      </c>
      <c r="I23" s="129"/>
      <c r="J23" s="129"/>
      <c r="K23" s="12"/>
      <c r="L23" s="12"/>
      <c r="M23" s="12"/>
      <c r="N23" s="145">
        <f t="shared" si="1"/>
        <v>0</v>
      </c>
      <c r="O23" s="145">
        <f t="shared" si="2"/>
        <v>0</v>
      </c>
      <c r="P23" s="144">
        <f t="shared" si="3"/>
        <v>0</v>
      </c>
      <c r="BC23" s="5" t="str">
        <f t="shared" si="0"/>
        <v>3</v>
      </c>
      <c r="BE23" s="1">
        <f t="shared" si="4"/>
        <v>0</v>
      </c>
      <c r="BF23" s="1">
        <f t="shared" si="5"/>
        <v>0</v>
      </c>
      <c r="BG23" s="1">
        <f t="shared" si="6"/>
        <v>0</v>
      </c>
      <c r="BH23" s="1">
        <f t="shared" si="7"/>
        <v>0</v>
      </c>
      <c r="BI23" s="1">
        <f t="shared" si="8"/>
        <v>0</v>
      </c>
      <c r="BJ23" s="1">
        <f t="shared" si="9"/>
        <v>0</v>
      </c>
      <c r="BK23" s="134" t="str">
        <f t="shared" si="11"/>
        <v>4</v>
      </c>
      <c r="BL23" s="135">
        <v>0.11</v>
      </c>
      <c r="BM23" s="135">
        <v>0.16</v>
      </c>
      <c r="BN23" s="135">
        <v>0.16</v>
      </c>
    </row>
    <row r="24" spans="3:66">
      <c r="C24" s="12"/>
      <c r="D24" s="129"/>
      <c r="E24" s="5"/>
      <c r="F24" s="12"/>
      <c r="G24" s="5"/>
      <c r="H24" s="5" t="s">
        <v>444</v>
      </c>
      <c r="I24" s="129"/>
      <c r="J24" s="129"/>
      <c r="K24" s="12"/>
      <c r="L24" s="12"/>
      <c r="M24" s="12"/>
      <c r="N24" s="145">
        <f t="shared" si="1"/>
        <v>0</v>
      </c>
      <c r="O24" s="145">
        <f t="shared" si="2"/>
        <v>0</v>
      </c>
      <c r="P24" s="144">
        <f t="shared" si="3"/>
        <v>0</v>
      </c>
      <c r="BC24" s="5" t="str">
        <f t="shared" si="0"/>
        <v>3</v>
      </c>
      <c r="BE24" s="1">
        <f t="shared" si="4"/>
        <v>0</v>
      </c>
      <c r="BF24" s="1">
        <f t="shared" si="5"/>
        <v>0</v>
      </c>
      <c r="BG24" s="1">
        <f t="shared" si="6"/>
        <v>0</v>
      </c>
      <c r="BH24" s="1">
        <f t="shared" si="7"/>
        <v>0</v>
      </c>
      <c r="BI24" s="1">
        <f t="shared" si="8"/>
        <v>0</v>
      </c>
      <c r="BJ24" s="1">
        <f t="shared" si="9"/>
        <v>0</v>
      </c>
      <c r="BK24" s="135"/>
      <c r="BL24" s="135"/>
      <c r="BM24" s="135"/>
      <c r="BN24" s="135"/>
    </row>
    <row r="25" spans="3:66">
      <c r="C25" s="12"/>
      <c r="D25" s="129"/>
      <c r="E25" s="5"/>
      <c r="F25" s="12"/>
      <c r="G25" s="5"/>
      <c r="H25" s="5"/>
      <c r="I25" s="147"/>
      <c r="J25" s="147"/>
      <c r="K25" s="12"/>
      <c r="L25" s="12"/>
      <c r="M25" s="12"/>
      <c r="N25" s="145">
        <f t="shared" si="1"/>
        <v>0</v>
      </c>
      <c r="O25" s="145">
        <f t="shared" si="2"/>
        <v>0</v>
      </c>
      <c r="P25" s="144">
        <f t="shared" si="3"/>
        <v>0</v>
      </c>
      <c r="BC25" s="5" t="str">
        <f t="shared" si="0"/>
        <v/>
      </c>
      <c r="BE25" s="1">
        <f t="shared" si="4"/>
        <v>0</v>
      </c>
      <c r="BF25" s="1">
        <f t="shared" si="5"/>
        <v>0</v>
      </c>
      <c r="BG25" s="1">
        <f t="shared" si="6"/>
        <v>0</v>
      </c>
      <c r="BH25" s="1">
        <f t="shared" si="7"/>
        <v>0</v>
      </c>
      <c r="BI25" s="1">
        <f t="shared" si="8"/>
        <v>0</v>
      </c>
      <c r="BJ25" s="1">
        <f t="shared" si="9"/>
        <v>0</v>
      </c>
      <c r="BK25" s="135"/>
      <c r="BL25" s="135"/>
      <c r="BM25" s="135"/>
      <c r="BN25" s="137"/>
    </row>
    <row r="26" spans="3:66">
      <c r="C26" s="505" t="s">
        <v>16</v>
      </c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146">
        <f>SUM(P15:P25)</f>
        <v>66.38000000000001</v>
      </c>
      <c r="BK26" s="135"/>
      <c r="BL26" s="135"/>
      <c r="BM26" s="135"/>
      <c r="BN26" s="135"/>
    </row>
    <row r="27" spans="3:66">
      <c r="C27" s="12"/>
      <c r="D27" s="314" t="s">
        <v>494</v>
      </c>
      <c r="E27" s="314"/>
      <c r="F27" s="314"/>
      <c r="G27" s="314"/>
      <c r="H27" s="314"/>
      <c r="I27" s="314"/>
      <c r="J27" s="314"/>
      <c r="K27" s="131"/>
      <c r="L27" s="515" t="s">
        <v>378</v>
      </c>
      <c r="M27" s="516"/>
      <c r="N27" s="516"/>
      <c r="O27" s="517"/>
      <c r="P27" s="145">
        <f>+IF(K27="",0,1)</f>
        <v>0</v>
      </c>
      <c r="BC27" s="1" t="s">
        <v>454</v>
      </c>
      <c r="BE27" s="1" t="s">
        <v>434</v>
      </c>
      <c r="BG27" s="1" t="s">
        <v>342</v>
      </c>
      <c r="BK27" s="135"/>
      <c r="BL27" s="135"/>
      <c r="BM27" s="135"/>
      <c r="BN27" s="135"/>
    </row>
    <row r="28" spans="3:66">
      <c r="C28" s="12"/>
      <c r="D28" s="314" t="s">
        <v>495</v>
      </c>
      <c r="E28" s="314"/>
      <c r="F28" s="314"/>
      <c r="G28" s="314"/>
      <c r="H28" s="314"/>
      <c r="I28" s="314"/>
      <c r="J28" s="314"/>
      <c r="K28" s="131"/>
      <c r="L28" s="515" t="s">
        <v>379</v>
      </c>
      <c r="M28" s="516"/>
      <c r="N28" s="516"/>
      <c r="O28" s="517"/>
      <c r="P28" s="145">
        <f>+IF(K28="",0,2)</f>
        <v>0</v>
      </c>
      <c r="BC28" s="1" t="s">
        <v>455</v>
      </c>
      <c r="BE28" s="1" t="s">
        <v>435</v>
      </c>
      <c r="BG28" s="1" t="s">
        <v>341</v>
      </c>
    </row>
    <row r="29" spans="3:66">
      <c r="C29" s="12"/>
      <c r="D29" s="314" t="s">
        <v>496</v>
      </c>
      <c r="E29" s="314"/>
      <c r="F29" s="314"/>
      <c r="G29" s="314"/>
      <c r="H29" s="314"/>
      <c r="I29" s="314"/>
      <c r="J29" s="314"/>
      <c r="K29" s="131" t="s">
        <v>65</v>
      </c>
      <c r="L29" s="515" t="s">
        <v>380</v>
      </c>
      <c r="M29" s="516"/>
      <c r="N29" s="516"/>
      <c r="O29" s="517"/>
      <c r="P29" s="145">
        <f>+IF(K29="",0,3)</f>
        <v>3</v>
      </c>
      <c r="BC29" s="1" t="s">
        <v>444</v>
      </c>
      <c r="BE29" s="1" t="s">
        <v>436</v>
      </c>
    </row>
    <row r="30" spans="3:66">
      <c r="C30" s="505" t="s">
        <v>16</v>
      </c>
      <c r="D30" s="505"/>
      <c r="E30" s="505"/>
      <c r="F30" s="505"/>
      <c r="G30" s="505"/>
      <c r="H30" s="505"/>
      <c r="I30" s="505"/>
      <c r="J30" s="505"/>
      <c r="K30" s="505"/>
      <c r="L30" s="505"/>
      <c r="M30" s="505"/>
      <c r="N30" s="505"/>
      <c r="O30" s="505"/>
      <c r="P30" s="146">
        <f>SUM(P26:P29)</f>
        <v>69.38000000000001</v>
      </c>
      <c r="BC30" s="1" t="s">
        <v>456</v>
      </c>
    </row>
    <row r="31" spans="3:66" s="18" customFormat="1">
      <c r="C31" s="174" t="s">
        <v>497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39"/>
    </row>
    <row r="33" spans="2:58">
      <c r="B33" s="4" t="s">
        <v>427</v>
      </c>
    </row>
    <row r="34" spans="2:58" s="18" customFormat="1" ht="17.25" customHeight="1">
      <c r="C34" s="418" t="s">
        <v>10</v>
      </c>
      <c r="D34" s="421" t="s">
        <v>384</v>
      </c>
      <c r="E34" s="422"/>
      <c r="F34" s="422"/>
      <c r="G34" s="422"/>
      <c r="H34" s="422"/>
      <c r="I34" s="422"/>
      <c r="J34" s="422"/>
      <c r="K34" s="422"/>
      <c r="L34" s="422"/>
      <c r="M34" s="422"/>
      <c r="N34" s="423"/>
      <c r="O34" s="439" t="s">
        <v>382</v>
      </c>
      <c r="P34" s="440"/>
      <c r="Q34" s="440"/>
      <c r="R34" s="440"/>
      <c r="S34" s="514"/>
      <c r="T34" s="439" t="s">
        <v>202</v>
      </c>
      <c r="U34" s="440"/>
      <c r="V34" s="440"/>
      <c r="W34" s="514"/>
      <c r="X34" s="502" t="s">
        <v>181</v>
      </c>
      <c r="BC34" s="1"/>
    </row>
    <row r="35" spans="2:58" s="18" customFormat="1" ht="17.25" customHeight="1">
      <c r="C35" s="419"/>
      <c r="D35" s="427" t="s">
        <v>11</v>
      </c>
      <c r="E35" s="430" t="s">
        <v>383</v>
      </c>
      <c r="F35" s="431"/>
      <c r="G35" s="431"/>
      <c r="H35" s="431"/>
      <c r="I35" s="431"/>
      <c r="J35" s="432"/>
      <c r="K35" s="427" t="s">
        <v>12</v>
      </c>
      <c r="L35" s="427" t="s">
        <v>173</v>
      </c>
      <c r="M35" s="480" t="s">
        <v>14</v>
      </c>
      <c r="N35" s="482" t="s">
        <v>182</v>
      </c>
      <c r="O35" s="447" t="s">
        <v>381</v>
      </c>
      <c r="P35" s="448"/>
      <c r="Q35" s="484" t="s">
        <v>15</v>
      </c>
      <c r="R35" s="506" t="s">
        <v>206</v>
      </c>
      <c r="S35" s="507"/>
      <c r="T35" s="447" t="s">
        <v>381</v>
      </c>
      <c r="U35" s="448"/>
      <c r="V35" s="506" t="s">
        <v>206</v>
      </c>
      <c r="W35" s="507"/>
      <c r="X35" s="503"/>
    </row>
    <row r="36" spans="2:58" s="18" customFormat="1" ht="17.25" customHeight="1">
      <c r="C36" s="419"/>
      <c r="D36" s="428"/>
      <c r="E36" s="433"/>
      <c r="F36" s="434"/>
      <c r="G36" s="434"/>
      <c r="H36" s="434"/>
      <c r="I36" s="434"/>
      <c r="J36" s="435"/>
      <c r="K36" s="428"/>
      <c r="L36" s="428"/>
      <c r="M36" s="481"/>
      <c r="N36" s="483"/>
      <c r="O36" s="449"/>
      <c r="P36" s="450"/>
      <c r="Q36" s="485"/>
      <c r="R36" s="508"/>
      <c r="S36" s="509"/>
      <c r="T36" s="449"/>
      <c r="U36" s="450"/>
      <c r="V36" s="508"/>
      <c r="W36" s="509"/>
      <c r="X36" s="503"/>
    </row>
    <row r="37" spans="2:58" s="18" customFormat="1" ht="17.25" customHeight="1">
      <c r="C37" s="419"/>
      <c r="D37" s="428"/>
      <c r="E37" s="433"/>
      <c r="F37" s="434"/>
      <c r="G37" s="434"/>
      <c r="H37" s="434"/>
      <c r="I37" s="434"/>
      <c r="J37" s="435"/>
      <c r="K37" s="428"/>
      <c r="L37" s="428"/>
      <c r="M37" s="481"/>
      <c r="N37" s="483"/>
      <c r="O37" s="451"/>
      <c r="P37" s="452"/>
      <c r="Q37" s="485"/>
      <c r="R37" s="510"/>
      <c r="S37" s="511"/>
      <c r="T37" s="451"/>
      <c r="U37" s="452"/>
      <c r="V37" s="510"/>
      <c r="W37" s="511"/>
      <c r="X37" s="503"/>
    </row>
    <row r="38" spans="2:58" s="18" customFormat="1" ht="17.25" customHeight="1">
      <c r="C38" s="420"/>
      <c r="D38" s="429"/>
      <c r="E38" s="436"/>
      <c r="F38" s="437"/>
      <c r="G38" s="437"/>
      <c r="H38" s="437"/>
      <c r="I38" s="437"/>
      <c r="J38" s="438"/>
      <c r="K38" s="429"/>
      <c r="L38" s="22" t="s">
        <v>174</v>
      </c>
      <c r="M38" s="148" t="s">
        <v>439</v>
      </c>
      <c r="N38" s="149" t="s">
        <v>200</v>
      </c>
      <c r="O38" s="51" t="s">
        <v>46</v>
      </c>
      <c r="P38" s="52" t="s">
        <v>47</v>
      </c>
      <c r="Q38" s="486"/>
      <c r="R38" s="44" t="s">
        <v>46</v>
      </c>
      <c r="S38" s="44" t="s">
        <v>47</v>
      </c>
      <c r="T38" s="51" t="s">
        <v>46</v>
      </c>
      <c r="U38" s="52" t="s">
        <v>47</v>
      </c>
      <c r="V38" s="44" t="s">
        <v>46</v>
      </c>
      <c r="W38" s="44" t="s">
        <v>47</v>
      </c>
      <c r="X38" s="504"/>
    </row>
    <row r="39" spans="2:58" s="18" customFormat="1" ht="15" customHeight="1">
      <c r="C39" s="28">
        <v>1</v>
      </c>
      <c r="D39" s="28"/>
      <c r="E39" s="477" t="s">
        <v>460</v>
      </c>
      <c r="F39" s="478"/>
      <c r="G39" s="478"/>
      <c r="H39" s="478"/>
      <c r="I39" s="478"/>
      <c r="J39" s="479"/>
      <c r="K39" s="29"/>
      <c r="L39" s="29"/>
      <c r="M39" s="129" t="s">
        <v>445</v>
      </c>
      <c r="N39" s="150" t="s">
        <v>342</v>
      </c>
      <c r="O39" s="30"/>
      <c r="P39" s="29"/>
      <c r="Q39" s="28"/>
      <c r="R39" s="31">
        <f>+IF(O39="",0,BE39)</f>
        <v>0</v>
      </c>
      <c r="S39" s="32">
        <f>+P39/15*1.5</f>
        <v>0</v>
      </c>
      <c r="T39" s="30">
        <v>1</v>
      </c>
      <c r="U39" s="29">
        <v>1</v>
      </c>
      <c r="V39" s="33">
        <f>T39*0.15</f>
        <v>0.15</v>
      </c>
      <c r="W39" s="33">
        <f>U39*0.1</f>
        <v>0.1</v>
      </c>
      <c r="X39" s="33">
        <f>R39+S39+V39+W39</f>
        <v>0.25</v>
      </c>
      <c r="BC39" s="5" t="str">
        <f>+LEFT(L39,1)</f>
        <v/>
      </c>
      <c r="BD39" s="1"/>
      <c r="BE39" s="1">
        <f>+IF(N39="ไม่มี",IF(Q39&lt;=30,O39/15*2,((O39/15*2)+(Q39-30)*(VLOOKUP(BC39,$BK$16:$BM$19,2,FALSE)))),IF(Q39&gt;30,O39/15*2.5,((O39/15*2.5)+(Q39-30)*(VLOOKUP(BC39,$BK$20:$BM$27,2,FALSE)))))</f>
        <v>0</v>
      </c>
      <c r="BF39" s="1"/>
    </row>
    <row r="40" spans="2:58" s="18" customFormat="1">
      <c r="C40" s="28">
        <v>2</v>
      </c>
      <c r="D40" s="28" t="s">
        <v>457</v>
      </c>
      <c r="E40" s="477" t="s">
        <v>459</v>
      </c>
      <c r="F40" s="478"/>
      <c r="G40" s="478"/>
      <c r="H40" s="478"/>
      <c r="I40" s="478"/>
      <c r="J40" s="479"/>
      <c r="K40" s="29">
        <v>2</v>
      </c>
      <c r="L40" s="29" t="s">
        <v>180</v>
      </c>
      <c r="M40" s="129" t="s">
        <v>445</v>
      </c>
      <c r="N40" s="150" t="s">
        <v>342</v>
      </c>
      <c r="O40" s="30">
        <v>30</v>
      </c>
      <c r="P40" s="29">
        <v>30</v>
      </c>
      <c r="Q40" s="28">
        <v>31</v>
      </c>
      <c r="R40" s="31">
        <f>+IF(O40="",0,BE40)</f>
        <v>4.0599999999999996</v>
      </c>
      <c r="S40" s="32">
        <f t="shared" ref="S40:S45" si="12">+P40/15*1.5</f>
        <v>3</v>
      </c>
      <c r="T40" s="30"/>
      <c r="U40" s="29"/>
      <c r="V40" s="33">
        <f t="shared" ref="V40:V45" si="13">T40*0.15</f>
        <v>0</v>
      </c>
      <c r="W40" s="33">
        <f t="shared" ref="W40:W45" si="14">U40*0.1</f>
        <v>0</v>
      </c>
      <c r="X40" s="33">
        <f t="shared" ref="X40:X45" si="15">R40+S40+V40+W40</f>
        <v>7.06</v>
      </c>
      <c r="BC40" s="5" t="str">
        <f t="shared" ref="BC40:BC45" si="16">+LEFT(L40,1)</f>
        <v>3</v>
      </c>
      <c r="BE40" s="1">
        <f>IF(Q40&lt;=30,O40/15*2,((O40/15*2)+(Q40-30)*(VLOOKUP(BC40,$BK$16:$BL$19,2,FALSE))))</f>
        <v>4.0599999999999996</v>
      </c>
      <c r="BF40" s="1"/>
    </row>
    <row r="41" spans="2:58" s="18" customFormat="1">
      <c r="C41" s="28">
        <v>3</v>
      </c>
      <c r="D41" s="28" t="s">
        <v>458</v>
      </c>
      <c r="E41" s="477" t="s">
        <v>459</v>
      </c>
      <c r="F41" s="478"/>
      <c r="G41" s="478"/>
      <c r="H41" s="478"/>
      <c r="I41" s="478"/>
      <c r="J41" s="479"/>
      <c r="K41" s="29">
        <v>1</v>
      </c>
      <c r="L41" s="29" t="s">
        <v>179</v>
      </c>
      <c r="M41" s="129" t="s">
        <v>445</v>
      </c>
      <c r="N41" s="150" t="s">
        <v>342</v>
      </c>
      <c r="O41" s="30">
        <v>45</v>
      </c>
      <c r="P41" s="29"/>
      <c r="Q41" s="28">
        <v>31</v>
      </c>
      <c r="R41" s="31">
        <f t="shared" ref="R41:R45" si="17">+IF(O41="",0,BE41)</f>
        <v>6.06</v>
      </c>
      <c r="S41" s="32">
        <f t="shared" si="12"/>
        <v>0</v>
      </c>
      <c r="T41" s="30"/>
      <c r="U41" s="29"/>
      <c r="V41" s="33">
        <f t="shared" si="13"/>
        <v>0</v>
      </c>
      <c r="W41" s="33">
        <f t="shared" si="14"/>
        <v>0</v>
      </c>
      <c r="X41" s="33">
        <f t="shared" si="15"/>
        <v>6.06</v>
      </c>
      <c r="BC41" s="5" t="str">
        <f t="shared" si="16"/>
        <v>3</v>
      </c>
      <c r="BE41" s="1">
        <f t="shared" ref="BE41:BE45" si="18">IF(Q41&lt;=30,O41/15*2,((O41/15*2)+(Q41-30)*(VLOOKUP(BC41,$BK$16:$BL$19,2,FALSE))))</f>
        <v>6.06</v>
      </c>
      <c r="BF41" s="1"/>
    </row>
    <row r="42" spans="2:58" s="18" customFormat="1">
      <c r="C42" s="28">
        <v>4</v>
      </c>
      <c r="D42" s="28"/>
      <c r="E42" s="477"/>
      <c r="F42" s="478"/>
      <c r="G42" s="478"/>
      <c r="H42" s="478"/>
      <c r="I42" s="478"/>
      <c r="J42" s="479"/>
      <c r="K42" s="29"/>
      <c r="L42" s="29"/>
      <c r="M42" s="131"/>
      <c r="N42" s="150"/>
      <c r="O42" s="30"/>
      <c r="P42" s="29"/>
      <c r="Q42" s="28"/>
      <c r="R42" s="31">
        <f t="shared" si="17"/>
        <v>0</v>
      </c>
      <c r="S42" s="32">
        <f t="shared" si="12"/>
        <v>0</v>
      </c>
      <c r="T42" s="30"/>
      <c r="U42" s="29"/>
      <c r="V42" s="33">
        <f t="shared" si="13"/>
        <v>0</v>
      </c>
      <c r="W42" s="33">
        <f t="shared" si="14"/>
        <v>0</v>
      </c>
      <c r="X42" s="33">
        <f t="shared" si="15"/>
        <v>0</v>
      </c>
      <c r="BC42" s="5" t="str">
        <f t="shared" si="16"/>
        <v/>
      </c>
      <c r="BE42" s="1">
        <f t="shared" si="18"/>
        <v>0</v>
      </c>
      <c r="BF42" s="1"/>
    </row>
    <row r="43" spans="2:58" s="18" customFormat="1">
      <c r="C43" s="28">
        <v>5</v>
      </c>
      <c r="D43" s="28"/>
      <c r="E43" s="477"/>
      <c r="F43" s="478"/>
      <c r="G43" s="478"/>
      <c r="H43" s="478"/>
      <c r="I43" s="478"/>
      <c r="J43" s="479"/>
      <c r="K43" s="29"/>
      <c r="L43" s="29"/>
      <c r="M43" s="131"/>
      <c r="N43" s="150"/>
      <c r="O43" s="30"/>
      <c r="P43" s="29"/>
      <c r="Q43" s="28"/>
      <c r="R43" s="31">
        <f t="shared" si="17"/>
        <v>0</v>
      </c>
      <c r="S43" s="32">
        <f t="shared" si="12"/>
        <v>0</v>
      </c>
      <c r="T43" s="30"/>
      <c r="U43" s="29"/>
      <c r="V43" s="33">
        <f t="shared" si="13"/>
        <v>0</v>
      </c>
      <c r="W43" s="33">
        <f t="shared" si="14"/>
        <v>0</v>
      </c>
      <c r="X43" s="33">
        <f t="shared" si="15"/>
        <v>0</v>
      </c>
      <c r="BC43" s="5" t="str">
        <f t="shared" si="16"/>
        <v/>
      </c>
      <c r="BE43" s="1">
        <f t="shared" si="18"/>
        <v>0</v>
      </c>
      <c r="BF43" s="1"/>
    </row>
    <row r="44" spans="2:58" s="18" customFormat="1">
      <c r="C44" s="28">
        <v>6</v>
      </c>
      <c r="D44" s="28"/>
      <c r="E44" s="477"/>
      <c r="F44" s="478"/>
      <c r="G44" s="478"/>
      <c r="H44" s="478"/>
      <c r="I44" s="478"/>
      <c r="J44" s="479"/>
      <c r="K44" s="29"/>
      <c r="L44" s="29"/>
      <c r="M44" s="131"/>
      <c r="N44" s="150"/>
      <c r="O44" s="30"/>
      <c r="P44" s="29"/>
      <c r="Q44" s="28"/>
      <c r="R44" s="31">
        <f t="shared" si="17"/>
        <v>0</v>
      </c>
      <c r="S44" s="32">
        <f t="shared" si="12"/>
        <v>0</v>
      </c>
      <c r="T44" s="30"/>
      <c r="U44" s="29"/>
      <c r="V44" s="33">
        <f t="shared" si="13"/>
        <v>0</v>
      </c>
      <c r="W44" s="33">
        <f t="shared" si="14"/>
        <v>0</v>
      </c>
      <c r="X44" s="33">
        <f t="shared" si="15"/>
        <v>0</v>
      </c>
      <c r="BC44" s="5" t="str">
        <f t="shared" si="16"/>
        <v/>
      </c>
      <c r="BE44" s="1">
        <f t="shared" si="18"/>
        <v>0</v>
      </c>
      <c r="BF44" s="1"/>
    </row>
    <row r="45" spans="2:58" s="18" customFormat="1">
      <c r="C45" s="28">
        <v>7</v>
      </c>
      <c r="D45" s="25"/>
      <c r="E45" s="477"/>
      <c r="F45" s="478"/>
      <c r="G45" s="478"/>
      <c r="H45" s="478"/>
      <c r="I45" s="478"/>
      <c r="J45" s="479"/>
      <c r="K45" s="29"/>
      <c r="L45" s="26"/>
      <c r="M45" s="131"/>
      <c r="N45" s="151"/>
      <c r="O45" s="27"/>
      <c r="P45" s="26"/>
      <c r="Q45" s="25"/>
      <c r="R45" s="31">
        <f t="shared" si="17"/>
        <v>0</v>
      </c>
      <c r="S45" s="32">
        <f t="shared" si="12"/>
        <v>0</v>
      </c>
      <c r="T45" s="27"/>
      <c r="U45" s="26"/>
      <c r="V45" s="33">
        <f t="shared" si="13"/>
        <v>0</v>
      </c>
      <c r="W45" s="33">
        <f t="shared" si="14"/>
        <v>0</v>
      </c>
      <c r="X45" s="33">
        <f t="shared" si="15"/>
        <v>0</v>
      </c>
      <c r="BC45" s="5" t="str">
        <f t="shared" si="16"/>
        <v/>
      </c>
      <c r="BE45" s="1">
        <f t="shared" si="18"/>
        <v>0</v>
      </c>
      <c r="BF45" s="1"/>
    </row>
    <row r="46" spans="2:58" s="18" customFormat="1">
      <c r="C46" s="459" t="s">
        <v>17</v>
      </c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Q46" s="460"/>
      <c r="R46" s="460"/>
      <c r="S46" s="460"/>
      <c r="T46" s="460"/>
      <c r="U46" s="460"/>
      <c r="V46" s="460"/>
      <c r="W46" s="487"/>
      <c r="X46" s="21">
        <f>SUM(X39:X45)</f>
        <v>13.37</v>
      </c>
    </row>
    <row r="48" spans="2:58">
      <c r="B48" s="1" t="s">
        <v>461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</row>
    <row r="49" spans="3:58" ht="31.15" customHeight="1">
      <c r="C49" s="462" t="s">
        <v>10</v>
      </c>
      <c r="D49" s="462" t="s">
        <v>11</v>
      </c>
      <c r="E49" s="465" t="s">
        <v>13</v>
      </c>
      <c r="F49" s="466"/>
      <c r="G49" s="466"/>
      <c r="H49" s="467"/>
      <c r="I49" s="462" t="s">
        <v>12</v>
      </c>
      <c r="J49" s="474" t="s">
        <v>183</v>
      </c>
      <c r="K49" s="474" t="s">
        <v>15</v>
      </c>
      <c r="L49" s="474" t="s">
        <v>462</v>
      </c>
      <c r="M49" s="488" t="s">
        <v>463</v>
      </c>
      <c r="N49" s="494" t="s">
        <v>245</v>
      </c>
      <c r="O49" s="491" t="s">
        <v>473</v>
      </c>
      <c r="P49" s="492"/>
      <c r="Q49" s="491" t="s">
        <v>244</v>
      </c>
      <c r="R49" s="493"/>
      <c r="S49" s="493"/>
      <c r="T49" s="493"/>
      <c r="U49" s="493"/>
      <c r="V49" s="492"/>
      <c r="W49" s="499" t="s">
        <v>206</v>
      </c>
    </row>
    <row r="50" spans="3:58" ht="23.45" customHeight="1">
      <c r="C50" s="463"/>
      <c r="D50" s="463"/>
      <c r="E50" s="468"/>
      <c r="F50" s="469"/>
      <c r="G50" s="469"/>
      <c r="H50" s="470"/>
      <c r="I50" s="463"/>
      <c r="J50" s="475"/>
      <c r="K50" s="476"/>
      <c r="L50" s="476"/>
      <c r="M50" s="489"/>
      <c r="N50" s="495"/>
      <c r="O50" s="404" t="s">
        <v>475</v>
      </c>
      <c r="P50" s="404" t="s">
        <v>476</v>
      </c>
      <c r="Q50" s="491" t="s">
        <v>466</v>
      </c>
      <c r="R50" s="492"/>
      <c r="S50" s="491" t="s">
        <v>465</v>
      </c>
      <c r="T50" s="493"/>
      <c r="U50" s="492"/>
      <c r="V50" s="497" t="s">
        <v>481</v>
      </c>
      <c r="W50" s="500"/>
    </row>
    <row r="51" spans="3:58" ht="56.45" customHeight="1">
      <c r="C51" s="464"/>
      <c r="D51" s="464"/>
      <c r="E51" s="471"/>
      <c r="F51" s="472"/>
      <c r="G51" s="472"/>
      <c r="H51" s="473"/>
      <c r="I51" s="464"/>
      <c r="J51" s="153" t="s">
        <v>174</v>
      </c>
      <c r="K51" s="475"/>
      <c r="L51" s="475"/>
      <c r="M51" s="490"/>
      <c r="N51" s="496"/>
      <c r="O51" s="405"/>
      <c r="P51" s="405"/>
      <c r="Q51" s="167" t="s">
        <v>466</v>
      </c>
      <c r="R51" s="161" t="s">
        <v>393</v>
      </c>
      <c r="S51" s="169" t="s">
        <v>468</v>
      </c>
      <c r="T51" s="169" t="s">
        <v>467</v>
      </c>
      <c r="U51" s="161" t="s">
        <v>393</v>
      </c>
      <c r="V51" s="498"/>
      <c r="W51" s="501"/>
      <c r="BE51" s="162" t="s">
        <v>469</v>
      </c>
      <c r="BF51" s="162" t="s">
        <v>470</v>
      </c>
    </row>
    <row r="52" spans="3:58">
      <c r="C52" s="158">
        <v>1</v>
      </c>
      <c r="D52" s="158" t="s">
        <v>471</v>
      </c>
      <c r="E52" s="406" t="s">
        <v>472</v>
      </c>
      <c r="F52" s="407"/>
      <c r="G52" s="407"/>
      <c r="H52" s="408"/>
      <c r="I52" s="158">
        <v>1</v>
      </c>
      <c r="J52" s="158" t="s">
        <v>444</v>
      </c>
      <c r="K52" s="158">
        <v>10</v>
      </c>
      <c r="L52" s="158">
        <v>5</v>
      </c>
      <c r="M52" s="160" t="s">
        <v>464</v>
      </c>
      <c r="N52" s="165">
        <f>+IF(M52="",0,IF(M52="หลัก",L52*1,L52*0.5))</f>
        <v>5</v>
      </c>
      <c r="O52" s="158"/>
      <c r="P52" s="158"/>
      <c r="Q52" s="158"/>
      <c r="R52" s="165">
        <f>Q52*1.5/15</f>
        <v>0</v>
      </c>
      <c r="S52" s="158"/>
      <c r="T52" s="158"/>
      <c r="U52" s="165">
        <f>+BE52+BF52</f>
        <v>0</v>
      </c>
      <c r="V52" s="158"/>
      <c r="W52" s="166">
        <f>+N52+O52+P52+R52+U52+V52</f>
        <v>5</v>
      </c>
      <c r="BE52" s="1">
        <f>+S52*0.2</f>
        <v>0</v>
      </c>
      <c r="BF52" s="1">
        <f>+T52*0.4</f>
        <v>0</v>
      </c>
    </row>
    <row r="53" spans="3:58">
      <c r="C53" s="158">
        <v>1</v>
      </c>
      <c r="D53" s="158" t="s">
        <v>471</v>
      </c>
      <c r="E53" s="406" t="s">
        <v>472</v>
      </c>
      <c r="F53" s="407"/>
      <c r="G53" s="407"/>
      <c r="H53" s="408"/>
      <c r="I53" s="158">
        <v>1</v>
      </c>
      <c r="J53" s="158" t="s">
        <v>444</v>
      </c>
      <c r="K53" s="158"/>
      <c r="L53" s="158">
        <v>5</v>
      </c>
      <c r="M53" s="160" t="s">
        <v>423</v>
      </c>
      <c r="N53" s="165">
        <f>+IF(M53="",0,IF(M53="หลัก",L53*1,L53*0.5))</f>
        <v>2.5</v>
      </c>
      <c r="O53" s="158"/>
      <c r="P53" s="158"/>
      <c r="Q53" s="158"/>
      <c r="R53" s="165">
        <f t="shared" ref="R53:R59" si="19">Q53*1.5/15</f>
        <v>0</v>
      </c>
      <c r="S53" s="158"/>
      <c r="T53" s="158"/>
      <c r="U53" s="165">
        <f t="shared" ref="U53:U59" si="20">+BE53+BF53</f>
        <v>0</v>
      </c>
      <c r="V53" s="158"/>
      <c r="W53" s="166">
        <f t="shared" ref="W53:W59" si="21">+N53+O53+P53+R53+U53+V53</f>
        <v>2.5</v>
      </c>
      <c r="BE53" s="1">
        <f t="shared" ref="BE53:BE59" si="22">+S53*0.2</f>
        <v>0</v>
      </c>
      <c r="BF53" s="1">
        <f t="shared" ref="BF53:BF59" si="23">+T53*0.4</f>
        <v>0</v>
      </c>
    </row>
    <row r="54" spans="3:58">
      <c r="C54" s="158">
        <v>2</v>
      </c>
      <c r="D54" s="158" t="s">
        <v>474</v>
      </c>
      <c r="E54" s="406" t="s">
        <v>473</v>
      </c>
      <c r="F54" s="407"/>
      <c r="G54" s="407"/>
      <c r="H54" s="408"/>
      <c r="I54" s="158">
        <v>1</v>
      </c>
      <c r="J54" s="158"/>
      <c r="K54" s="158"/>
      <c r="L54" s="158"/>
      <c r="M54" s="160"/>
      <c r="N54" s="165">
        <f t="shared" ref="N54:N59" si="24">+IF(M54="",0,IF(M54="หลัก",L54*1,L54*0.5))</f>
        <v>0</v>
      </c>
      <c r="O54" s="158">
        <v>1</v>
      </c>
      <c r="P54" s="158"/>
      <c r="Q54" s="158"/>
      <c r="R54" s="165">
        <f t="shared" si="19"/>
        <v>0</v>
      </c>
      <c r="S54" s="158"/>
      <c r="T54" s="158"/>
      <c r="U54" s="165">
        <f t="shared" si="20"/>
        <v>0</v>
      </c>
      <c r="V54" s="158"/>
      <c r="W54" s="166">
        <f t="shared" si="21"/>
        <v>1</v>
      </c>
      <c r="BE54" s="1">
        <f t="shared" si="22"/>
        <v>0</v>
      </c>
      <c r="BF54" s="1">
        <f t="shared" si="23"/>
        <v>0</v>
      </c>
    </row>
    <row r="55" spans="3:58">
      <c r="C55" s="158"/>
      <c r="D55" s="158"/>
      <c r="E55" s="406"/>
      <c r="F55" s="407"/>
      <c r="G55" s="407"/>
      <c r="H55" s="408"/>
      <c r="I55" s="158"/>
      <c r="J55" s="158"/>
      <c r="K55" s="158"/>
      <c r="L55" s="158"/>
      <c r="M55" s="160"/>
      <c r="N55" s="165">
        <f t="shared" si="24"/>
        <v>0</v>
      </c>
      <c r="O55" s="158"/>
      <c r="P55" s="158">
        <v>2</v>
      </c>
      <c r="Q55" s="158"/>
      <c r="R55" s="165">
        <f t="shared" si="19"/>
        <v>0</v>
      </c>
      <c r="S55" s="158"/>
      <c r="T55" s="158"/>
      <c r="U55" s="165">
        <f t="shared" si="20"/>
        <v>0</v>
      </c>
      <c r="V55" s="158"/>
      <c r="W55" s="166">
        <f t="shared" si="21"/>
        <v>2</v>
      </c>
      <c r="BE55" s="1">
        <f t="shared" si="22"/>
        <v>0</v>
      </c>
      <c r="BF55" s="1">
        <f t="shared" si="23"/>
        <v>0</v>
      </c>
    </row>
    <row r="56" spans="3:58">
      <c r="C56" s="158">
        <v>3</v>
      </c>
      <c r="D56" s="158" t="s">
        <v>479</v>
      </c>
      <c r="E56" s="406" t="s">
        <v>480</v>
      </c>
      <c r="F56" s="407"/>
      <c r="G56" s="407"/>
      <c r="H56" s="408"/>
      <c r="I56" s="158">
        <v>1</v>
      </c>
      <c r="J56" s="158"/>
      <c r="K56" s="158"/>
      <c r="L56" s="158"/>
      <c r="M56" s="160"/>
      <c r="N56" s="165">
        <f t="shared" si="24"/>
        <v>0</v>
      </c>
      <c r="O56" s="158"/>
      <c r="P56" s="158"/>
      <c r="Q56" s="158">
        <v>45</v>
      </c>
      <c r="R56" s="165">
        <f t="shared" si="19"/>
        <v>4.5</v>
      </c>
      <c r="S56" s="158"/>
      <c r="T56" s="158"/>
      <c r="U56" s="165">
        <f t="shared" si="20"/>
        <v>0</v>
      </c>
      <c r="V56" s="158"/>
      <c r="W56" s="166">
        <f t="shared" si="21"/>
        <v>4.5</v>
      </c>
      <c r="BE56" s="1">
        <f t="shared" si="22"/>
        <v>0</v>
      </c>
      <c r="BF56" s="1">
        <f t="shared" si="23"/>
        <v>0</v>
      </c>
    </row>
    <row r="57" spans="3:58">
      <c r="C57" s="158"/>
      <c r="D57" s="158"/>
      <c r="E57" s="406"/>
      <c r="F57" s="407"/>
      <c r="G57" s="407"/>
      <c r="H57" s="408"/>
      <c r="I57" s="158"/>
      <c r="J57" s="158"/>
      <c r="K57" s="158"/>
      <c r="L57" s="158"/>
      <c r="M57" s="160"/>
      <c r="N57" s="165">
        <f t="shared" si="24"/>
        <v>0</v>
      </c>
      <c r="O57" s="158"/>
      <c r="P57" s="158"/>
      <c r="Q57" s="158"/>
      <c r="R57" s="165">
        <f t="shared" si="19"/>
        <v>0</v>
      </c>
      <c r="S57" s="158">
        <v>5</v>
      </c>
      <c r="T57" s="158"/>
      <c r="U57" s="165">
        <f t="shared" si="20"/>
        <v>1</v>
      </c>
      <c r="V57" s="158"/>
      <c r="W57" s="166">
        <f t="shared" si="21"/>
        <v>1</v>
      </c>
      <c r="BE57" s="1">
        <f t="shared" si="22"/>
        <v>1</v>
      </c>
      <c r="BF57" s="1">
        <f t="shared" si="23"/>
        <v>0</v>
      </c>
    </row>
    <row r="58" spans="3:58">
      <c r="C58" s="158"/>
      <c r="D58" s="158"/>
      <c r="E58" s="406"/>
      <c r="F58" s="407"/>
      <c r="G58" s="407"/>
      <c r="H58" s="408"/>
      <c r="I58" s="158"/>
      <c r="J58" s="159"/>
      <c r="K58" s="158"/>
      <c r="L58" s="158"/>
      <c r="M58" s="160"/>
      <c r="N58" s="165">
        <f t="shared" si="24"/>
        <v>0</v>
      </c>
      <c r="O58" s="158"/>
      <c r="P58" s="158"/>
      <c r="Q58" s="158"/>
      <c r="R58" s="165">
        <f t="shared" si="19"/>
        <v>0</v>
      </c>
      <c r="S58" s="158"/>
      <c r="T58" s="158">
        <v>4</v>
      </c>
      <c r="U58" s="165">
        <f t="shared" si="20"/>
        <v>1.6</v>
      </c>
      <c r="V58" s="158"/>
      <c r="W58" s="166">
        <f t="shared" si="21"/>
        <v>1.6</v>
      </c>
      <c r="BE58" s="1">
        <f t="shared" si="22"/>
        <v>0</v>
      </c>
      <c r="BF58" s="1">
        <f t="shared" si="23"/>
        <v>1.6</v>
      </c>
    </row>
    <row r="59" spans="3:58">
      <c r="C59" s="158"/>
      <c r="D59" s="158"/>
      <c r="E59" s="406"/>
      <c r="F59" s="407"/>
      <c r="G59" s="407"/>
      <c r="H59" s="408"/>
      <c r="I59" s="158"/>
      <c r="J59" s="159"/>
      <c r="K59" s="158"/>
      <c r="L59" s="158"/>
      <c r="M59" s="160"/>
      <c r="N59" s="165">
        <f t="shared" si="24"/>
        <v>0</v>
      </c>
      <c r="O59" s="158"/>
      <c r="P59" s="158"/>
      <c r="Q59" s="158"/>
      <c r="R59" s="165">
        <f t="shared" si="19"/>
        <v>0</v>
      </c>
      <c r="S59" s="158"/>
      <c r="T59" s="158"/>
      <c r="U59" s="165">
        <f t="shared" si="20"/>
        <v>0</v>
      </c>
      <c r="V59" s="158"/>
      <c r="W59" s="166">
        <f t="shared" si="21"/>
        <v>0</v>
      </c>
      <c r="BE59" s="1">
        <f t="shared" si="22"/>
        <v>0</v>
      </c>
      <c r="BF59" s="1">
        <f t="shared" si="23"/>
        <v>0</v>
      </c>
    </row>
    <row r="60" spans="3:58">
      <c r="C60" s="412" t="s">
        <v>499</v>
      </c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4"/>
      <c r="W60" s="166">
        <f>SUM(W52:W59)</f>
        <v>17.600000000000001</v>
      </c>
    </row>
    <row r="61" spans="3:58" s="18" customFormat="1">
      <c r="C61" s="174" t="s">
        <v>477</v>
      </c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39"/>
    </row>
    <row r="62" spans="3:58" s="18" customFormat="1">
      <c r="C62" s="174" t="s">
        <v>478</v>
      </c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39"/>
    </row>
    <row r="63" spans="3:58" s="18" customFormat="1">
      <c r="C63" s="174" t="s">
        <v>482</v>
      </c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39"/>
    </row>
    <row r="64" spans="3:58" s="18" customFormat="1">
      <c r="C64" s="163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9"/>
    </row>
    <row r="65" spans="2:59" s="18" customFormat="1">
      <c r="B65" s="38" t="s">
        <v>483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9"/>
    </row>
    <row r="66" spans="2:59" ht="31.15" customHeight="1">
      <c r="C66" s="462" t="s">
        <v>10</v>
      </c>
      <c r="D66" s="462" t="s">
        <v>11</v>
      </c>
      <c r="E66" s="465" t="s">
        <v>13</v>
      </c>
      <c r="F66" s="466"/>
      <c r="G66" s="466"/>
      <c r="H66" s="467"/>
      <c r="I66" s="462" t="s">
        <v>12</v>
      </c>
      <c r="J66" s="474" t="s">
        <v>183</v>
      </c>
      <c r="K66" s="474" t="s">
        <v>15</v>
      </c>
      <c r="L66" s="474" t="s">
        <v>484</v>
      </c>
      <c r="M66" s="527" t="s">
        <v>240</v>
      </c>
      <c r="N66" s="528"/>
      <c r="O66" s="529"/>
      <c r="P66" s="491" t="s">
        <v>424</v>
      </c>
      <c r="Q66" s="493"/>
      <c r="R66" s="492"/>
      <c r="S66" s="491" t="s">
        <v>244</v>
      </c>
      <c r="T66" s="492"/>
      <c r="U66" s="532" t="s">
        <v>206</v>
      </c>
    </row>
    <row r="67" spans="2:59" ht="23.45" customHeight="1">
      <c r="C67" s="463"/>
      <c r="D67" s="463"/>
      <c r="E67" s="468"/>
      <c r="F67" s="469"/>
      <c r="G67" s="469"/>
      <c r="H67" s="470"/>
      <c r="I67" s="463"/>
      <c r="J67" s="475"/>
      <c r="K67" s="476"/>
      <c r="L67" s="476"/>
      <c r="M67" s="488" t="s">
        <v>463</v>
      </c>
      <c r="N67" s="488" t="s">
        <v>485</v>
      </c>
      <c r="O67" s="494" t="s">
        <v>82</v>
      </c>
      <c r="P67" s="404" t="s">
        <v>489</v>
      </c>
      <c r="Q67" s="404" t="s">
        <v>490</v>
      </c>
      <c r="R67" s="494" t="s">
        <v>82</v>
      </c>
      <c r="S67" s="530" t="s">
        <v>466</v>
      </c>
      <c r="T67" s="535" t="s">
        <v>393</v>
      </c>
      <c r="U67" s="533"/>
    </row>
    <row r="68" spans="2:59" ht="56.45" customHeight="1">
      <c r="C68" s="464"/>
      <c r="D68" s="464"/>
      <c r="E68" s="471"/>
      <c r="F68" s="472"/>
      <c r="G68" s="472"/>
      <c r="H68" s="473"/>
      <c r="I68" s="464"/>
      <c r="J68" s="153" t="s">
        <v>174</v>
      </c>
      <c r="K68" s="475"/>
      <c r="L68" s="475"/>
      <c r="M68" s="490"/>
      <c r="N68" s="490"/>
      <c r="O68" s="496"/>
      <c r="P68" s="405"/>
      <c r="Q68" s="405"/>
      <c r="R68" s="496"/>
      <c r="S68" s="531"/>
      <c r="T68" s="536"/>
      <c r="U68" s="534"/>
      <c r="BB68" s="1" t="s">
        <v>488</v>
      </c>
      <c r="BC68" s="1" t="s">
        <v>426</v>
      </c>
      <c r="BD68" s="1" t="s">
        <v>487</v>
      </c>
      <c r="BF68" s="1" t="s">
        <v>489</v>
      </c>
      <c r="BG68" s="1" t="s">
        <v>490</v>
      </c>
    </row>
    <row r="69" spans="2:59">
      <c r="C69" s="158">
        <v>1</v>
      </c>
      <c r="D69" s="158" t="s">
        <v>491</v>
      </c>
      <c r="E69" s="406"/>
      <c r="F69" s="407"/>
      <c r="G69" s="407"/>
      <c r="H69" s="408"/>
      <c r="I69" s="158">
        <v>1</v>
      </c>
      <c r="J69" s="158" t="s">
        <v>444</v>
      </c>
      <c r="K69" s="158">
        <v>10</v>
      </c>
      <c r="L69" s="158">
        <v>1</v>
      </c>
      <c r="M69" s="160" t="s">
        <v>464</v>
      </c>
      <c r="N69" s="164" t="s">
        <v>486</v>
      </c>
      <c r="O69" s="165">
        <f t="shared" ref="O69:O80" si="25">+IF(M69="",0,SUM(BB69:BD69))</f>
        <v>1</v>
      </c>
      <c r="P69" s="168"/>
      <c r="Q69" s="168"/>
      <c r="R69" s="165">
        <f t="shared" ref="R69:R74" si="26">SUM(BF69:BG69)</f>
        <v>0</v>
      </c>
      <c r="S69" s="158"/>
      <c r="T69" s="157">
        <f>S69*1.5/15</f>
        <v>0</v>
      </c>
      <c r="U69" s="166">
        <f>+O69+R69+T69</f>
        <v>1</v>
      </c>
      <c r="BB69" s="1">
        <f t="shared" ref="BB69:BB80" si="27">IF(N69="",0,IF(N69="วิทยานิพนธ์",0,IF(N69="ดุษฎีนิพนธ์",0,IF(M69="หลัก",L69*1,L69*0.5))))</f>
        <v>1</v>
      </c>
      <c r="BC69" s="1">
        <f t="shared" ref="BC69:BC80" si="28">IF(N69="",0,IF(N69="ค้นคว้าอิสระ/สาระนิพนธ์",0,IF(N69="ดุษฎีนิพนธ์",0,IF(M69="หลัก",L69*1.5,L69*0.5))))</f>
        <v>0</v>
      </c>
      <c r="BD69" s="1">
        <f t="shared" ref="BD69:BD80" si="29">IF(N69="",0,IF(N69="วิทยานิพนธ์",0,IF(N69="ค้นคว้าอิสระ/สาระนิพนธ์",0,IF(M69="หลัก",L69*3,L69*1))))</f>
        <v>0</v>
      </c>
      <c r="BF69" s="1">
        <f t="shared" ref="BF69:BF80" si="30">+IF(P69="",0,IF(P69="ดุษฎีนิพนธ์",L69*0.5,L69*0.2))</f>
        <v>0</v>
      </c>
      <c r="BG69" s="1">
        <f t="shared" ref="BG69:BG80" si="31">IF(Q69="",0,IF(Q69="ค้นคว้าอิสระ/สาระนิพนธ์",L69*0.2,IF(Q69="วิทยานิพนธ์",L69*0.3,L69*0.6)))</f>
        <v>0</v>
      </c>
    </row>
    <row r="70" spans="2:59">
      <c r="C70" s="158"/>
      <c r="D70" s="158" t="s">
        <v>492</v>
      </c>
      <c r="E70" s="406"/>
      <c r="F70" s="407"/>
      <c r="G70" s="407"/>
      <c r="H70" s="408"/>
      <c r="I70" s="158">
        <v>1</v>
      </c>
      <c r="J70" s="158" t="s">
        <v>444</v>
      </c>
      <c r="K70" s="158"/>
      <c r="L70" s="158">
        <v>1</v>
      </c>
      <c r="M70" s="160" t="s">
        <v>464</v>
      </c>
      <c r="N70" s="164" t="s">
        <v>426</v>
      </c>
      <c r="O70" s="165">
        <f t="shared" si="25"/>
        <v>1.5</v>
      </c>
      <c r="P70" s="168"/>
      <c r="Q70" s="168"/>
      <c r="R70" s="165">
        <f t="shared" si="26"/>
        <v>0</v>
      </c>
      <c r="S70" s="158"/>
      <c r="T70" s="157">
        <f t="shared" ref="T70:T80" si="32">S70*1.5/15</f>
        <v>0</v>
      </c>
      <c r="U70" s="166">
        <f t="shared" ref="U70:U80" si="33">+O70+R70+T70</f>
        <v>1.5</v>
      </c>
      <c r="BB70" s="1">
        <f t="shared" si="27"/>
        <v>0</v>
      </c>
      <c r="BC70" s="1">
        <f t="shared" si="28"/>
        <v>1.5</v>
      </c>
      <c r="BD70" s="1">
        <f t="shared" si="29"/>
        <v>0</v>
      </c>
      <c r="BF70" s="1">
        <f t="shared" si="30"/>
        <v>0</v>
      </c>
      <c r="BG70" s="1">
        <f t="shared" si="31"/>
        <v>0</v>
      </c>
    </row>
    <row r="71" spans="2:59">
      <c r="C71" s="158"/>
      <c r="D71" s="158" t="s">
        <v>493</v>
      </c>
      <c r="E71" s="406"/>
      <c r="F71" s="407"/>
      <c r="G71" s="407"/>
      <c r="H71" s="408"/>
      <c r="I71" s="158">
        <v>1</v>
      </c>
      <c r="J71" s="158"/>
      <c r="K71" s="158"/>
      <c r="L71" s="158">
        <v>1</v>
      </c>
      <c r="M71" s="160" t="s">
        <v>464</v>
      </c>
      <c r="N71" s="164" t="s">
        <v>487</v>
      </c>
      <c r="O71" s="165">
        <f t="shared" si="25"/>
        <v>3</v>
      </c>
      <c r="P71" s="168"/>
      <c r="Q71" s="168"/>
      <c r="R71" s="165">
        <f t="shared" si="26"/>
        <v>0</v>
      </c>
      <c r="S71" s="158"/>
      <c r="T71" s="157">
        <f t="shared" si="32"/>
        <v>0</v>
      </c>
      <c r="U71" s="166">
        <f t="shared" si="33"/>
        <v>3</v>
      </c>
      <c r="BB71" s="1">
        <f t="shared" si="27"/>
        <v>0</v>
      </c>
      <c r="BC71" s="1">
        <f t="shared" si="28"/>
        <v>0</v>
      </c>
      <c r="BD71" s="1">
        <f t="shared" si="29"/>
        <v>3</v>
      </c>
      <c r="BF71" s="1">
        <f t="shared" si="30"/>
        <v>0</v>
      </c>
      <c r="BG71" s="1">
        <f t="shared" si="31"/>
        <v>0</v>
      </c>
    </row>
    <row r="72" spans="2:59">
      <c r="C72" s="158"/>
      <c r="D72" s="158"/>
      <c r="E72" s="406"/>
      <c r="F72" s="407"/>
      <c r="G72" s="407"/>
      <c r="H72" s="408"/>
      <c r="I72" s="158">
        <v>1</v>
      </c>
      <c r="J72" s="158"/>
      <c r="K72" s="158"/>
      <c r="L72" s="158">
        <v>1</v>
      </c>
      <c r="M72" s="160"/>
      <c r="N72" s="164"/>
      <c r="O72" s="165">
        <f t="shared" si="25"/>
        <v>0</v>
      </c>
      <c r="P72" s="168" t="s">
        <v>486</v>
      </c>
      <c r="Q72" s="168"/>
      <c r="R72" s="165">
        <f t="shared" si="26"/>
        <v>0.2</v>
      </c>
      <c r="S72" s="158"/>
      <c r="T72" s="157">
        <f t="shared" si="32"/>
        <v>0</v>
      </c>
      <c r="U72" s="166">
        <f t="shared" si="33"/>
        <v>0.2</v>
      </c>
      <c r="BB72" s="1">
        <f t="shared" si="27"/>
        <v>0</v>
      </c>
      <c r="BC72" s="1">
        <f t="shared" si="28"/>
        <v>0</v>
      </c>
      <c r="BD72" s="1">
        <f t="shared" si="29"/>
        <v>0</v>
      </c>
      <c r="BF72" s="1">
        <f t="shared" si="30"/>
        <v>0.2</v>
      </c>
      <c r="BG72" s="1">
        <f t="shared" si="31"/>
        <v>0</v>
      </c>
    </row>
    <row r="73" spans="2:59">
      <c r="C73" s="158"/>
      <c r="D73" s="158"/>
      <c r="E73" s="406"/>
      <c r="F73" s="407"/>
      <c r="G73" s="407"/>
      <c r="H73" s="408"/>
      <c r="I73" s="158">
        <v>1</v>
      </c>
      <c r="J73" s="158"/>
      <c r="K73" s="158"/>
      <c r="L73" s="158">
        <v>1</v>
      </c>
      <c r="M73" s="160"/>
      <c r="N73" s="164"/>
      <c r="O73" s="165">
        <f t="shared" si="25"/>
        <v>0</v>
      </c>
      <c r="P73" s="168" t="s">
        <v>426</v>
      </c>
      <c r="Q73" s="168"/>
      <c r="R73" s="165">
        <f t="shared" si="26"/>
        <v>0.2</v>
      </c>
      <c r="S73" s="158"/>
      <c r="T73" s="157">
        <f t="shared" si="32"/>
        <v>0</v>
      </c>
      <c r="U73" s="166">
        <f t="shared" si="33"/>
        <v>0.2</v>
      </c>
      <c r="BB73" s="1">
        <f t="shared" si="27"/>
        <v>0</v>
      </c>
      <c r="BC73" s="1">
        <f t="shared" si="28"/>
        <v>0</v>
      </c>
      <c r="BD73" s="1">
        <f t="shared" si="29"/>
        <v>0</v>
      </c>
      <c r="BF73" s="1">
        <f t="shared" si="30"/>
        <v>0.2</v>
      </c>
      <c r="BG73" s="1">
        <f t="shared" si="31"/>
        <v>0</v>
      </c>
    </row>
    <row r="74" spans="2:59">
      <c r="C74" s="158"/>
      <c r="D74" s="158"/>
      <c r="E74" s="406"/>
      <c r="F74" s="407"/>
      <c r="G74" s="407"/>
      <c r="H74" s="408"/>
      <c r="I74" s="158">
        <v>1</v>
      </c>
      <c r="J74" s="158"/>
      <c r="K74" s="158"/>
      <c r="L74" s="158">
        <v>1</v>
      </c>
      <c r="M74" s="160"/>
      <c r="N74" s="164"/>
      <c r="O74" s="165">
        <f t="shared" si="25"/>
        <v>0</v>
      </c>
      <c r="P74" s="168" t="s">
        <v>487</v>
      </c>
      <c r="Q74" s="168"/>
      <c r="R74" s="165">
        <f t="shared" si="26"/>
        <v>0.5</v>
      </c>
      <c r="S74" s="158"/>
      <c r="T74" s="157">
        <f t="shared" si="32"/>
        <v>0</v>
      </c>
      <c r="U74" s="166">
        <f t="shared" si="33"/>
        <v>0.5</v>
      </c>
      <c r="BB74" s="1">
        <f t="shared" si="27"/>
        <v>0</v>
      </c>
      <c r="BC74" s="1">
        <f t="shared" si="28"/>
        <v>0</v>
      </c>
      <c r="BD74" s="1">
        <f t="shared" si="29"/>
        <v>0</v>
      </c>
      <c r="BF74" s="1">
        <f t="shared" si="30"/>
        <v>0.5</v>
      </c>
      <c r="BG74" s="1">
        <f t="shared" si="31"/>
        <v>0</v>
      </c>
    </row>
    <row r="75" spans="2:59">
      <c r="C75" s="158"/>
      <c r="D75" s="158"/>
      <c r="E75" s="154"/>
      <c r="F75" s="155"/>
      <c r="G75" s="155"/>
      <c r="H75" s="156"/>
      <c r="I75" s="158">
        <v>1</v>
      </c>
      <c r="J75" s="158"/>
      <c r="K75" s="158"/>
      <c r="L75" s="158">
        <v>1</v>
      </c>
      <c r="M75" s="160"/>
      <c r="N75" s="164"/>
      <c r="O75" s="165">
        <f t="shared" si="25"/>
        <v>0</v>
      </c>
      <c r="P75" s="168"/>
      <c r="Q75" s="168" t="s">
        <v>486</v>
      </c>
      <c r="R75" s="165">
        <f t="shared" ref="R75:R80" si="34">SUM(BF75:BG75)</f>
        <v>0.2</v>
      </c>
      <c r="S75" s="158"/>
      <c r="T75" s="157">
        <f t="shared" si="32"/>
        <v>0</v>
      </c>
      <c r="U75" s="166">
        <f t="shared" si="33"/>
        <v>0.2</v>
      </c>
      <c r="BB75" s="1">
        <f t="shared" si="27"/>
        <v>0</v>
      </c>
      <c r="BC75" s="1">
        <f t="shared" si="28"/>
        <v>0</v>
      </c>
      <c r="BD75" s="1">
        <f t="shared" si="29"/>
        <v>0</v>
      </c>
      <c r="BF75" s="1">
        <f t="shared" si="30"/>
        <v>0</v>
      </c>
      <c r="BG75" s="1">
        <f t="shared" si="31"/>
        <v>0.2</v>
      </c>
    </row>
    <row r="76" spans="2:59">
      <c r="C76" s="158"/>
      <c r="D76" s="158"/>
      <c r="E76" s="154"/>
      <c r="F76" s="155"/>
      <c r="G76" s="155"/>
      <c r="H76" s="156"/>
      <c r="I76" s="158">
        <v>1</v>
      </c>
      <c r="J76" s="158"/>
      <c r="K76" s="158"/>
      <c r="L76" s="158">
        <v>1</v>
      </c>
      <c r="M76" s="160"/>
      <c r="N76" s="164"/>
      <c r="O76" s="165">
        <f t="shared" si="25"/>
        <v>0</v>
      </c>
      <c r="P76" s="168"/>
      <c r="Q76" s="168" t="s">
        <v>426</v>
      </c>
      <c r="R76" s="165">
        <f t="shared" si="34"/>
        <v>0.3</v>
      </c>
      <c r="S76" s="158"/>
      <c r="T76" s="157">
        <f t="shared" si="32"/>
        <v>0</v>
      </c>
      <c r="U76" s="166">
        <f t="shared" si="33"/>
        <v>0.3</v>
      </c>
      <c r="BB76" s="1">
        <f t="shared" si="27"/>
        <v>0</v>
      </c>
      <c r="BC76" s="1">
        <f t="shared" si="28"/>
        <v>0</v>
      </c>
      <c r="BD76" s="1">
        <f t="shared" si="29"/>
        <v>0</v>
      </c>
      <c r="BF76" s="1">
        <f t="shared" si="30"/>
        <v>0</v>
      </c>
      <c r="BG76" s="1">
        <f t="shared" si="31"/>
        <v>0.3</v>
      </c>
    </row>
    <row r="77" spans="2:59">
      <c r="C77" s="158"/>
      <c r="D77" s="158"/>
      <c r="E77" s="154"/>
      <c r="F77" s="155"/>
      <c r="G77" s="155"/>
      <c r="H77" s="156"/>
      <c r="I77" s="158">
        <v>1</v>
      </c>
      <c r="J77" s="158"/>
      <c r="K77" s="158"/>
      <c r="L77" s="158">
        <v>1</v>
      </c>
      <c r="M77" s="160"/>
      <c r="N77" s="164"/>
      <c r="O77" s="165">
        <f t="shared" si="25"/>
        <v>0</v>
      </c>
      <c r="P77" s="168"/>
      <c r="Q77" s="168" t="s">
        <v>487</v>
      </c>
      <c r="R77" s="165">
        <f t="shared" si="34"/>
        <v>0.6</v>
      </c>
      <c r="S77" s="158"/>
      <c r="T77" s="157">
        <f t="shared" si="32"/>
        <v>0</v>
      </c>
      <c r="U77" s="166">
        <f t="shared" si="33"/>
        <v>0.6</v>
      </c>
      <c r="BB77" s="1">
        <f t="shared" si="27"/>
        <v>0</v>
      </c>
      <c r="BC77" s="1">
        <f t="shared" si="28"/>
        <v>0</v>
      </c>
      <c r="BD77" s="1">
        <f t="shared" si="29"/>
        <v>0</v>
      </c>
      <c r="BF77" s="1">
        <f t="shared" si="30"/>
        <v>0</v>
      </c>
      <c r="BG77" s="1">
        <f t="shared" si="31"/>
        <v>0.6</v>
      </c>
    </row>
    <row r="78" spans="2:59">
      <c r="C78" s="158"/>
      <c r="D78" s="158"/>
      <c r="E78" s="154"/>
      <c r="F78" s="155"/>
      <c r="G78" s="155"/>
      <c r="H78" s="156"/>
      <c r="I78" s="158">
        <v>1</v>
      </c>
      <c r="J78" s="158"/>
      <c r="K78" s="158"/>
      <c r="L78" s="158"/>
      <c r="M78" s="160"/>
      <c r="N78" s="164"/>
      <c r="O78" s="165">
        <f t="shared" si="25"/>
        <v>0</v>
      </c>
      <c r="P78" s="168"/>
      <c r="Q78" s="168"/>
      <c r="R78" s="165">
        <f t="shared" si="34"/>
        <v>0</v>
      </c>
      <c r="S78" s="158">
        <v>45</v>
      </c>
      <c r="T78" s="157">
        <f t="shared" si="32"/>
        <v>4.5</v>
      </c>
      <c r="U78" s="166">
        <f t="shared" si="33"/>
        <v>4.5</v>
      </c>
      <c r="BB78" s="1">
        <f t="shared" si="27"/>
        <v>0</v>
      </c>
      <c r="BC78" s="1">
        <f t="shared" si="28"/>
        <v>0</v>
      </c>
      <c r="BD78" s="1">
        <f t="shared" si="29"/>
        <v>0</v>
      </c>
      <c r="BF78" s="1">
        <f t="shared" si="30"/>
        <v>0</v>
      </c>
      <c r="BG78" s="1">
        <f t="shared" si="31"/>
        <v>0</v>
      </c>
    </row>
    <row r="79" spans="2:59">
      <c r="C79" s="158"/>
      <c r="D79" s="158"/>
      <c r="E79" s="406"/>
      <c r="F79" s="407"/>
      <c r="G79" s="407"/>
      <c r="H79" s="408"/>
      <c r="I79" s="158">
        <v>1</v>
      </c>
      <c r="J79" s="159"/>
      <c r="K79" s="158"/>
      <c r="L79" s="158"/>
      <c r="M79" s="160"/>
      <c r="N79" s="164"/>
      <c r="O79" s="165">
        <f t="shared" si="25"/>
        <v>0</v>
      </c>
      <c r="P79" s="168"/>
      <c r="Q79" s="168"/>
      <c r="R79" s="165">
        <f t="shared" si="34"/>
        <v>0</v>
      </c>
      <c r="S79" s="158"/>
      <c r="T79" s="157">
        <f t="shared" si="32"/>
        <v>0</v>
      </c>
      <c r="U79" s="166">
        <f t="shared" si="33"/>
        <v>0</v>
      </c>
      <c r="BB79" s="1">
        <f t="shared" si="27"/>
        <v>0</v>
      </c>
      <c r="BC79" s="1">
        <f t="shared" si="28"/>
        <v>0</v>
      </c>
      <c r="BD79" s="1">
        <f t="shared" si="29"/>
        <v>0</v>
      </c>
      <c r="BF79" s="1">
        <f t="shared" si="30"/>
        <v>0</v>
      </c>
      <c r="BG79" s="1">
        <f t="shared" si="31"/>
        <v>0</v>
      </c>
    </row>
    <row r="80" spans="2:59">
      <c r="C80" s="158"/>
      <c r="D80" s="158"/>
      <c r="E80" s="406"/>
      <c r="F80" s="407"/>
      <c r="G80" s="407"/>
      <c r="H80" s="408"/>
      <c r="I80" s="158"/>
      <c r="J80" s="159"/>
      <c r="K80" s="158"/>
      <c r="L80" s="158"/>
      <c r="M80" s="160"/>
      <c r="N80" s="164"/>
      <c r="O80" s="165">
        <f t="shared" si="25"/>
        <v>0</v>
      </c>
      <c r="P80" s="168"/>
      <c r="Q80" s="168"/>
      <c r="R80" s="165">
        <f t="shared" si="34"/>
        <v>0</v>
      </c>
      <c r="S80" s="158"/>
      <c r="T80" s="157">
        <f t="shared" si="32"/>
        <v>0</v>
      </c>
      <c r="U80" s="166">
        <f t="shared" si="33"/>
        <v>0</v>
      </c>
      <c r="BB80" s="1">
        <f t="shared" si="27"/>
        <v>0</v>
      </c>
      <c r="BC80" s="1">
        <f t="shared" si="28"/>
        <v>0</v>
      </c>
      <c r="BD80" s="1">
        <f t="shared" si="29"/>
        <v>0</v>
      </c>
      <c r="BF80" s="1">
        <f t="shared" si="30"/>
        <v>0</v>
      </c>
      <c r="BG80" s="1">
        <f t="shared" si="31"/>
        <v>0</v>
      </c>
    </row>
    <row r="81" spans="1:68">
      <c r="C81" s="412" t="s">
        <v>500</v>
      </c>
      <c r="D81" s="413"/>
      <c r="E81" s="413"/>
      <c r="F81" s="413"/>
      <c r="G81" s="413"/>
      <c r="H81" s="413"/>
      <c r="I81" s="413"/>
      <c r="J81" s="413"/>
      <c r="K81" s="413"/>
      <c r="L81" s="413"/>
      <c r="M81" s="413"/>
      <c r="N81" s="413"/>
      <c r="O81" s="413"/>
      <c r="P81" s="413"/>
      <c r="Q81" s="413"/>
      <c r="R81" s="413"/>
      <c r="S81" s="413"/>
      <c r="T81" s="414"/>
      <c r="U81" s="166">
        <f>SUM(U69:U80)</f>
        <v>12</v>
      </c>
    </row>
    <row r="82" spans="1:68" s="18" customFormat="1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9"/>
    </row>
    <row r="83" spans="1:68">
      <c r="B83" s="4" t="s">
        <v>425</v>
      </c>
    </row>
    <row r="84" spans="1:68" s="18" customFormat="1" ht="17.25" customHeight="1">
      <c r="C84" s="418" t="s">
        <v>10</v>
      </c>
      <c r="D84" s="421" t="s">
        <v>171</v>
      </c>
      <c r="E84" s="422"/>
      <c r="F84" s="422"/>
      <c r="G84" s="422"/>
      <c r="H84" s="422"/>
      <c r="I84" s="422"/>
      <c r="J84" s="422"/>
      <c r="K84" s="422"/>
      <c r="L84" s="422"/>
      <c r="M84" s="422"/>
      <c r="N84" s="423"/>
      <c r="O84" s="439" t="s">
        <v>172</v>
      </c>
      <c r="P84" s="440"/>
      <c r="Q84" s="441"/>
      <c r="R84" s="453" t="s">
        <v>505</v>
      </c>
      <c r="S84" s="454"/>
      <c r="T84" s="424" t="s">
        <v>181</v>
      </c>
      <c r="BE84" s="133" t="s">
        <v>183</v>
      </c>
      <c r="BF84" s="1"/>
      <c r="BG84" s="1"/>
      <c r="BH84" s="1"/>
      <c r="BI84" s="1"/>
      <c r="BJ84" s="1"/>
      <c r="BK84" s="1"/>
      <c r="BL84" s="1"/>
      <c r="BM84" s="1" t="s">
        <v>446</v>
      </c>
      <c r="BO84" s="1"/>
      <c r="BP84" s="1"/>
    </row>
    <row r="85" spans="1:68" s="18" customFormat="1" ht="17.25" customHeight="1">
      <c r="C85" s="419"/>
      <c r="D85" s="427" t="s">
        <v>11</v>
      </c>
      <c r="E85" s="430" t="s">
        <v>13</v>
      </c>
      <c r="F85" s="431"/>
      <c r="G85" s="431"/>
      <c r="H85" s="431"/>
      <c r="I85" s="431"/>
      <c r="J85" s="431"/>
      <c r="K85" s="432"/>
      <c r="L85" s="427" t="s">
        <v>12</v>
      </c>
      <c r="M85" s="427" t="s">
        <v>173</v>
      </c>
      <c r="N85" s="445" t="s">
        <v>14</v>
      </c>
      <c r="O85" s="447" t="s">
        <v>381</v>
      </c>
      <c r="P85" s="448"/>
      <c r="Q85" s="442" t="s">
        <v>15</v>
      </c>
      <c r="R85" s="455"/>
      <c r="S85" s="456"/>
      <c r="T85" s="425"/>
      <c r="BE85" s="36"/>
      <c r="BF85" s="1"/>
      <c r="BG85" s="1"/>
      <c r="BH85" s="1"/>
      <c r="BI85" s="1"/>
      <c r="BJ85" s="1"/>
      <c r="BK85" s="1"/>
      <c r="BL85" s="1"/>
      <c r="BM85" s="1"/>
      <c r="BO85" s="1"/>
      <c r="BP85" s="1"/>
    </row>
    <row r="86" spans="1:68" s="18" customFormat="1" ht="17.25" customHeight="1">
      <c r="C86" s="419"/>
      <c r="D86" s="428"/>
      <c r="E86" s="433"/>
      <c r="F86" s="434"/>
      <c r="G86" s="434"/>
      <c r="H86" s="434"/>
      <c r="I86" s="434"/>
      <c r="J86" s="434"/>
      <c r="K86" s="435"/>
      <c r="L86" s="428"/>
      <c r="M86" s="428"/>
      <c r="N86" s="446"/>
      <c r="O86" s="449"/>
      <c r="P86" s="450"/>
      <c r="Q86" s="443"/>
      <c r="R86" s="455"/>
      <c r="S86" s="456"/>
      <c r="T86" s="425"/>
      <c r="BE86" s="5" t="str">
        <f>+LEFT(G86,1)</f>
        <v/>
      </c>
      <c r="BF86" s="1"/>
      <c r="BG86" s="1"/>
      <c r="BH86" s="1"/>
      <c r="BI86" s="1"/>
      <c r="BJ86" s="1"/>
      <c r="BK86" s="1"/>
      <c r="BL86" s="1"/>
      <c r="BM86" s="1"/>
      <c r="BO86" s="1"/>
      <c r="BP86" s="1"/>
    </row>
    <row r="87" spans="1:68" s="18" customFormat="1" ht="17.25" customHeight="1">
      <c r="C87" s="419"/>
      <c r="D87" s="428"/>
      <c r="E87" s="433"/>
      <c r="F87" s="434"/>
      <c r="G87" s="434"/>
      <c r="H87" s="434"/>
      <c r="I87" s="434"/>
      <c r="J87" s="434"/>
      <c r="K87" s="435"/>
      <c r="L87" s="428"/>
      <c r="M87" s="428"/>
      <c r="N87" s="446"/>
      <c r="O87" s="451"/>
      <c r="P87" s="452"/>
      <c r="Q87" s="443"/>
      <c r="R87" s="457"/>
      <c r="S87" s="458"/>
      <c r="T87" s="425"/>
      <c r="BE87" s="5" t="str">
        <f>+LEFT(G87,1)</f>
        <v/>
      </c>
      <c r="BF87" s="1"/>
      <c r="BG87" s="1"/>
      <c r="BH87" s="1"/>
      <c r="BI87" s="1"/>
      <c r="BJ87" s="1"/>
      <c r="BK87" s="1"/>
      <c r="BL87" s="134" t="str">
        <f>+LEFT(BE94,1)</f>
        <v>1</v>
      </c>
      <c r="BM87" s="134">
        <v>0.03</v>
      </c>
      <c r="BO87" s="1"/>
      <c r="BP87" s="1"/>
    </row>
    <row r="88" spans="1:68" s="18" customFormat="1" ht="17.25" customHeight="1">
      <c r="C88" s="420"/>
      <c r="D88" s="429"/>
      <c r="E88" s="436"/>
      <c r="F88" s="437"/>
      <c r="G88" s="437"/>
      <c r="H88" s="437"/>
      <c r="I88" s="437"/>
      <c r="J88" s="437"/>
      <c r="K88" s="438"/>
      <c r="L88" s="429"/>
      <c r="M88" s="46" t="s">
        <v>498</v>
      </c>
      <c r="N88" s="35" t="s">
        <v>65</v>
      </c>
      <c r="O88" s="200" t="s">
        <v>46</v>
      </c>
      <c r="P88" s="208" t="s">
        <v>47</v>
      </c>
      <c r="Q88" s="444"/>
      <c r="R88" s="202" t="s">
        <v>46</v>
      </c>
      <c r="S88" s="202" t="s">
        <v>440</v>
      </c>
      <c r="T88" s="426"/>
      <c r="W88" s="19"/>
      <c r="BE88" s="5" t="str">
        <f>+LEFT(G88,1)</f>
        <v/>
      </c>
      <c r="BF88" s="1"/>
      <c r="BG88" s="1"/>
      <c r="BH88" s="1"/>
      <c r="BI88" s="1"/>
      <c r="BJ88" s="1"/>
      <c r="BK88" s="1"/>
      <c r="BL88" s="134" t="str">
        <f t="shared" ref="BL88:BL90" si="35">+LEFT(BE95,1)</f>
        <v>2</v>
      </c>
      <c r="BM88" s="134">
        <v>0.05</v>
      </c>
      <c r="BO88" s="1"/>
      <c r="BP88" s="1"/>
    </row>
    <row r="89" spans="1:68" s="18" customFormat="1" ht="15" customHeight="1">
      <c r="C89" s="28">
        <v>1</v>
      </c>
      <c r="D89" s="28" t="s">
        <v>175</v>
      </c>
      <c r="E89" s="409"/>
      <c r="F89" s="410"/>
      <c r="G89" s="410"/>
      <c r="H89" s="410"/>
      <c r="I89" s="410"/>
      <c r="J89" s="410"/>
      <c r="K89" s="411"/>
      <c r="L89" s="29">
        <v>1</v>
      </c>
      <c r="M89" s="47" t="s">
        <v>450</v>
      </c>
      <c r="N89" s="9"/>
      <c r="O89" s="30">
        <v>30</v>
      </c>
      <c r="P89" s="201">
        <v>30</v>
      </c>
      <c r="Q89" s="29">
        <v>16</v>
      </c>
      <c r="R89" s="170">
        <f>+IF(Q89="",0,IF(Q89&lt;=15,(O89/15*2.5),((O89/15*2.5)+((Q89-15)*VLOOKUP(BE89,$BL$87:$BM$90,2,FALSE)))))</f>
        <v>5.08</v>
      </c>
      <c r="S89" s="209">
        <f>+IF(P89="",0,P89/15*1.5)</f>
        <v>3</v>
      </c>
      <c r="T89" s="170">
        <f>+R89+S89</f>
        <v>8.08</v>
      </c>
      <c r="W89" s="19"/>
      <c r="BE89" s="5" t="str">
        <f>+LEFT(M89,1)</f>
        <v>3</v>
      </c>
      <c r="BF89" s="1"/>
      <c r="BG89" s="1"/>
      <c r="BH89" s="1"/>
      <c r="BI89" s="1"/>
      <c r="BJ89" s="1"/>
      <c r="BK89" s="1"/>
      <c r="BL89" s="134" t="str">
        <f t="shared" si="35"/>
        <v>3</v>
      </c>
      <c r="BM89" s="134">
        <v>0.08</v>
      </c>
      <c r="BO89" s="1"/>
      <c r="BP89" s="1"/>
    </row>
    <row r="90" spans="1:68" s="18" customFormat="1">
      <c r="C90" s="28">
        <v>2</v>
      </c>
      <c r="D90" s="28" t="s">
        <v>176</v>
      </c>
      <c r="E90" s="409"/>
      <c r="F90" s="410"/>
      <c r="G90" s="410"/>
      <c r="H90" s="410"/>
      <c r="I90" s="410"/>
      <c r="J90" s="410"/>
      <c r="K90" s="411"/>
      <c r="L90" s="29">
        <v>2</v>
      </c>
      <c r="M90" s="47" t="s">
        <v>444</v>
      </c>
      <c r="N90" s="9"/>
      <c r="O90" s="30">
        <v>45</v>
      </c>
      <c r="P90" s="201"/>
      <c r="Q90" s="29">
        <v>15</v>
      </c>
      <c r="R90" s="170">
        <f t="shared" ref="R90:R93" si="36">+IF(Q90="",0,IF(Q90&lt;=15,(O90/15*2.5),((O90/15*2.5)+((Q90-15)*VLOOKUP(BE90,$BL$87:$BM$90,2,FALSE)))))</f>
        <v>7.5</v>
      </c>
      <c r="S90" s="209">
        <f t="shared" ref="S90:S93" si="37">+IF(P90="",0,P90/15*1.5)</f>
        <v>0</v>
      </c>
      <c r="T90" s="170">
        <f t="shared" ref="T90:T93" si="38">+R90+S90</f>
        <v>7.5</v>
      </c>
      <c r="BE90" s="5" t="str">
        <f>+LEFT(M90,1)</f>
        <v>3</v>
      </c>
      <c r="BF90" s="1"/>
      <c r="BG90" s="1"/>
      <c r="BH90" s="1"/>
      <c r="BI90" s="1"/>
      <c r="BJ90" s="1"/>
      <c r="BK90" s="1"/>
      <c r="BL90" s="134" t="str">
        <f t="shared" si="35"/>
        <v>4</v>
      </c>
      <c r="BM90" s="134">
        <v>0.11</v>
      </c>
      <c r="BO90" s="1"/>
      <c r="BP90" s="1"/>
    </row>
    <row r="91" spans="1:68" s="18" customFormat="1">
      <c r="C91" s="28">
        <v>3</v>
      </c>
      <c r="D91" s="28" t="s">
        <v>177</v>
      </c>
      <c r="E91" s="409"/>
      <c r="F91" s="410"/>
      <c r="G91" s="410"/>
      <c r="H91" s="410"/>
      <c r="I91" s="410"/>
      <c r="J91" s="410"/>
      <c r="K91" s="411"/>
      <c r="L91" s="29">
        <v>3</v>
      </c>
      <c r="M91" s="47" t="s">
        <v>444</v>
      </c>
      <c r="N91" s="9"/>
      <c r="O91" s="30"/>
      <c r="P91" s="201"/>
      <c r="Q91" s="29"/>
      <c r="R91" s="170">
        <f t="shared" si="36"/>
        <v>0</v>
      </c>
      <c r="S91" s="209">
        <f t="shared" si="37"/>
        <v>0</v>
      </c>
      <c r="T91" s="170">
        <f t="shared" si="38"/>
        <v>0</v>
      </c>
      <c r="BE91" s="5" t="str">
        <f t="shared" ref="BE91:BE92" si="39">+LEFT(M91,1)</f>
        <v>3</v>
      </c>
      <c r="BF91" s="1"/>
      <c r="BG91" s="1"/>
      <c r="BH91" s="1"/>
      <c r="BI91" s="1"/>
      <c r="BJ91" s="1"/>
      <c r="BK91" s="1"/>
      <c r="BL91" s="135"/>
      <c r="BM91" s="135"/>
      <c r="BO91" s="1"/>
      <c r="BP91" s="1"/>
    </row>
    <row r="92" spans="1:68" s="18" customFormat="1">
      <c r="C92" s="28">
        <v>4</v>
      </c>
      <c r="D92" s="28" t="s">
        <v>178</v>
      </c>
      <c r="E92" s="409"/>
      <c r="F92" s="410"/>
      <c r="G92" s="410"/>
      <c r="H92" s="410"/>
      <c r="I92" s="410"/>
      <c r="J92" s="410"/>
      <c r="K92" s="411"/>
      <c r="L92" s="29">
        <v>4</v>
      </c>
      <c r="M92" s="47" t="s">
        <v>444</v>
      </c>
      <c r="N92" s="9"/>
      <c r="O92" s="30"/>
      <c r="P92" s="201"/>
      <c r="Q92" s="29"/>
      <c r="R92" s="170">
        <f t="shared" si="36"/>
        <v>0</v>
      </c>
      <c r="S92" s="209">
        <f t="shared" si="37"/>
        <v>0</v>
      </c>
      <c r="T92" s="170">
        <f t="shared" si="38"/>
        <v>0</v>
      </c>
      <c r="BE92" s="5" t="str">
        <f t="shared" si="39"/>
        <v>3</v>
      </c>
      <c r="BF92" s="1"/>
      <c r="BG92" s="1"/>
      <c r="BH92" s="1"/>
      <c r="BI92" s="1"/>
      <c r="BJ92" s="1"/>
      <c r="BK92" s="1"/>
      <c r="BL92" s="135"/>
      <c r="BM92" s="135"/>
      <c r="BO92" s="1"/>
      <c r="BP92" s="1"/>
    </row>
    <row r="93" spans="1:68" s="18" customFormat="1">
      <c r="C93" s="20">
        <v>5</v>
      </c>
      <c r="D93" s="25"/>
      <c r="E93" s="23"/>
      <c r="F93" s="24"/>
      <c r="G93" s="24"/>
      <c r="H93" s="45"/>
      <c r="I93" s="45"/>
      <c r="J93" s="45"/>
      <c r="K93" s="45"/>
      <c r="L93" s="26"/>
      <c r="M93" s="26"/>
      <c r="N93" s="9"/>
      <c r="O93" s="27"/>
      <c r="P93" s="207"/>
      <c r="Q93" s="26"/>
      <c r="R93" s="170">
        <f t="shared" si="36"/>
        <v>0</v>
      </c>
      <c r="S93" s="209">
        <f t="shared" si="37"/>
        <v>0</v>
      </c>
      <c r="T93" s="170">
        <f t="shared" si="38"/>
        <v>0</v>
      </c>
      <c r="BE93" s="1"/>
      <c r="BF93" s="1"/>
      <c r="BG93" s="1"/>
      <c r="BH93" s="1"/>
      <c r="BI93" s="1"/>
      <c r="BJ93" s="1"/>
      <c r="BK93" s="1"/>
      <c r="BL93" s="135"/>
      <c r="BM93" s="135"/>
      <c r="BO93" s="1"/>
      <c r="BP93" s="1"/>
    </row>
    <row r="94" spans="1:68" s="18" customFormat="1" ht="14.25" customHeight="1">
      <c r="C94" s="459" t="s">
        <v>371</v>
      </c>
      <c r="D94" s="460"/>
      <c r="E94" s="460"/>
      <c r="F94" s="460"/>
      <c r="G94" s="460"/>
      <c r="H94" s="460"/>
      <c r="I94" s="460"/>
      <c r="J94" s="460"/>
      <c r="K94" s="460"/>
      <c r="L94" s="460"/>
      <c r="M94" s="460"/>
      <c r="N94" s="460"/>
      <c r="O94" s="460"/>
      <c r="P94" s="460"/>
      <c r="Q94" s="460"/>
      <c r="R94" s="460"/>
      <c r="S94" s="461"/>
      <c r="T94" s="171">
        <f>SUM(T89:T93)</f>
        <v>15.58</v>
      </c>
      <c r="BE94" s="1" t="s">
        <v>454</v>
      </c>
      <c r="BF94" s="1"/>
      <c r="BG94" s="1"/>
      <c r="BH94" s="1"/>
      <c r="BI94" s="1"/>
      <c r="BJ94" s="1"/>
      <c r="BK94" s="1"/>
      <c r="BL94" s="135"/>
      <c r="BM94" s="135"/>
      <c r="BO94" s="1"/>
      <c r="BP94" s="1"/>
    </row>
    <row r="95" spans="1:68" s="18" customFormat="1"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9"/>
      <c r="BC95" s="1"/>
      <c r="BD95" s="1"/>
      <c r="BE95" s="1" t="s">
        <v>455</v>
      </c>
      <c r="BF95" s="1"/>
      <c r="BG95" s="1"/>
      <c r="BH95" s="1"/>
      <c r="BI95" s="1"/>
      <c r="BJ95" s="1"/>
    </row>
    <row r="96" spans="1:68">
      <c r="A96" s="1" t="s">
        <v>203</v>
      </c>
      <c r="BE96" s="1" t="s">
        <v>444</v>
      </c>
    </row>
    <row r="97" spans="2:57">
      <c r="B97" s="1" t="s">
        <v>205</v>
      </c>
      <c r="BE97" s="1" t="s">
        <v>456</v>
      </c>
    </row>
    <row r="98" spans="2:57" ht="16.5" customHeight="1">
      <c r="C98" s="332" t="s">
        <v>10</v>
      </c>
      <c r="D98" s="358" t="s">
        <v>204</v>
      </c>
      <c r="E98" s="359"/>
      <c r="F98" s="359"/>
      <c r="G98" s="360"/>
      <c r="H98" s="368" t="s">
        <v>193</v>
      </c>
      <c r="I98" s="369" t="s">
        <v>192</v>
      </c>
      <c r="J98" s="415" t="s">
        <v>197</v>
      </c>
      <c r="K98" s="416"/>
      <c r="L98" s="416"/>
      <c r="M98" s="416"/>
      <c r="N98" s="416"/>
      <c r="O98" s="416"/>
      <c r="P98" s="416"/>
      <c r="Q98" s="417"/>
      <c r="R98" s="358" t="s">
        <v>198</v>
      </c>
      <c r="S98" s="359"/>
      <c r="T98" s="359"/>
      <c r="U98" s="359"/>
      <c r="V98" s="360"/>
      <c r="W98" s="369" t="s">
        <v>191</v>
      </c>
      <c r="X98" s="400" t="s">
        <v>206</v>
      </c>
    </row>
    <row r="99" spans="2:57" ht="16.5" customHeight="1">
      <c r="C99" s="333"/>
      <c r="D99" s="365"/>
      <c r="E99" s="366"/>
      <c r="F99" s="366"/>
      <c r="G99" s="367"/>
      <c r="H99" s="368"/>
      <c r="I99" s="369"/>
      <c r="J99" s="401" t="s">
        <v>194</v>
      </c>
      <c r="K99" s="402"/>
      <c r="L99" s="402"/>
      <c r="M99" s="402"/>
      <c r="N99" s="402"/>
      <c r="O99" s="402"/>
      <c r="P99" s="402"/>
      <c r="Q99" s="403"/>
      <c r="R99" s="361"/>
      <c r="S99" s="362"/>
      <c r="T99" s="362"/>
      <c r="U99" s="362"/>
      <c r="V99" s="363"/>
      <c r="W99" s="369"/>
      <c r="X99" s="400"/>
    </row>
    <row r="100" spans="2:57" ht="29.25" customHeight="1">
      <c r="C100" s="333"/>
      <c r="D100" s="365"/>
      <c r="E100" s="366"/>
      <c r="F100" s="366"/>
      <c r="G100" s="367"/>
      <c r="H100" s="368"/>
      <c r="I100" s="369"/>
      <c r="J100" s="347" t="s">
        <v>160</v>
      </c>
      <c r="K100" s="347" t="s">
        <v>190</v>
      </c>
      <c r="L100" s="347" t="s">
        <v>189</v>
      </c>
      <c r="M100" s="347" t="s">
        <v>188</v>
      </c>
      <c r="N100" s="347" t="s">
        <v>187</v>
      </c>
      <c r="O100" s="347" t="s">
        <v>186</v>
      </c>
      <c r="P100" s="347" t="s">
        <v>185</v>
      </c>
      <c r="Q100" s="347" t="s">
        <v>184</v>
      </c>
      <c r="R100" s="361" t="s">
        <v>23</v>
      </c>
      <c r="S100" s="362"/>
      <c r="T100" s="362"/>
      <c r="U100" s="362"/>
      <c r="V100" s="363"/>
      <c r="W100" s="369"/>
      <c r="X100" s="400"/>
    </row>
    <row r="101" spans="2:57" ht="29.25" customHeight="1">
      <c r="C101" s="364"/>
      <c r="D101" s="361"/>
      <c r="E101" s="362"/>
      <c r="F101" s="362"/>
      <c r="G101" s="363"/>
      <c r="H101" s="368"/>
      <c r="I101" s="369"/>
      <c r="J101" s="348"/>
      <c r="K101" s="348"/>
      <c r="L101" s="348"/>
      <c r="M101" s="348"/>
      <c r="N101" s="348"/>
      <c r="O101" s="348"/>
      <c r="P101" s="348"/>
      <c r="Q101" s="348"/>
      <c r="R101" s="11" t="s">
        <v>22</v>
      </c>
      <c r="S101" s="11" t="s">
        <v>21</v>
      </c>
      <c r="T101" s="11" t="s">
        <v>20</v>
      </c>
      <c r="U101" s="11" t="s">
        <v>19</v>
      </c>
      <c r="V101" s="11" t="s">
        <v>18</v>
      </c>
      <c r="W101" s="369"/>
      <c r="X101" s="400"/>
    </row>
    <row r="102" spans="2:57">
      <c r="C102" s="5">
        <v>1</v>
      </c>
      <c r="D102" s="350"/>
      <c r="E102" s="351"/>
      <c r="F102" s="351"/>
      <c r="G102" s="352"/>
      <c r="H102" s="5"/>
      <c r="I102" s="5"/>
      <c r="J102" s="9"/>
      <c r="K102" s="9"/>
      <c r="L102" s="9"/>
      <c r="M102" s="9"/>
      <c r="N102" s="9"/>
      <c r="O102" s="9"/>
      <c r="P102" s="9"/>
      <c r="Q102" s="9"/>
      <c r="R102" s="9"/>
      <c r="S102" s="9" t="s">
        <v>65</v>
      </c>
      <c r="T102" s="9"/>
      <c r="U102" s="9"/>
      <c r="V102" s="9"/>
      <c r="W102" s="9"/>
      <c r="X102" s="192">
        <f t="shared" ref="X102:X107" si="40">IF(J102&lt;&gt;"",12,IF(K102&lt;&gt;"",10,IF(L102&lt;&gt;"",8,IF(M102&lt;&gt;"",7,IF(N102&lt;&gt;"",5,IF(O102&lt;&gt;"",3,IF(P102&lt;&gt;"",2,IF(Q102&lt;&gt;"",1,IF(R102&lt;&gt;"",7,IF(S102&lt;&gt;"",5,IF(T102&lt;&gt;"",3,IF(U102&lt;&gt;"",2,IF(V102&lt;&gt;"",1,IF(W102&lt;&gt;"",3,0))))))))))))))</f>
        <v>5</v>
      </c>
    </row>
    <row r="103" spans="2:57">
      <c r="C103" s="5">
        <v>2</v>
      </c>
      <c r="D103" s="350"/>
      <c r="E103" s="351"/>
      <c r="F103" s="351"/>
      <c r="G103" s="352"/>
      <c r="H103" s="5"/>
      <c r="I103" s="5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 t="s">
        <v>65</v>
      </c>
      <c r="U103" s="9"/>
      <c r="V103" s="9"/>
      <c r="W103" s="9"/>
      <c r="X103" s="192">
        <f t="shared" si="40"/>
        <v>3</v>
      </c>
    </row>
    <row r="104" spans="2:57">
      <c r="C104" s="5">
        <v>3</v>
      </c>
      <c r="D104" s="350"/>
      <c r="E104" s="351"/>
      <c r="F104" s="351"/>
      <c r="G104" s="352"/>
      <c r="H104" s="5"/>
      <c r="I104" s="5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 t="s">
        <v>65</v>
      </c>
      <c r="V104" s="9"/>
      <c r="W104" s="9"/>
      <c r="X104" s="192">
        <f t="shared" si="40"/>
        <v>2</v>
      </c>
    </row>
    <row r="105" spans="2:57">
      <c r="C105" s="5">
        <v>4</v>
      </c>
      <c r="D105" s="350"/>
      <c r="E105" s="351"/>
      <c r="F105" s="351"/>
      <c r="G105" s="352"/>
      <c r="H105" s="5"/>
      <c r="I105" s="5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 t="s">
        <v>65</v>
      </c>
      <c r="W105" s="9"/>
      <c r="X105" s="192">
        <f t="shared" si="40"/>
        <v>1</v>
      </c>
    </row>
    <row r="106" spans="2:57">
      <c r="C106" s="5">
        <v>5</v>
      </c>
      <c r="D106" s="350"/>
      <c r="E106" s="351"/>
      <c r="F106" s="351"/>
      <c r="G106" s="352"/>
      <c r="H106" s="5"/>
      <c r="I106" s="5"/>
      <c r="J106" s="9" t="s">
        <v>65</v>
      </c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92">
        <f t="shared" si="40"/>
        <v>12</v>
      </c>
    </row>
    <row r="107" spans="2:57" ht="15">
      <c r="C107" s="5">
        <v>6</v>
      </c>
      <c r="D107" s="350"/>
      <c r="E107" s="351"/>
      <c r="F107" s="351"/>
      <c r="G107" s="352"/>
      <c r="H107" s="5"/>
      <c r="I107" s="5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 t="s">
        <v>65</v>
      </c>
      <c r="X107" s="192">
        <f t="shared" si="40"/>
        <v>3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</row>
    <row r="108" spans="2:57" ht="15">
      <c r="C108" s="386" t="s">
        <v>246</v>
      </c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388"/>
      <c r="X108" s="184">
        <f>SUM(X102:X107)</f>
        <v>26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</row>
    <row r="109" spans="2:57" ht="15"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</row>
    <row r="110" spans="2:57">
      <c r="B110" s="1" t="s">
        <v>207</v>
      </c>
    </row>
    <row r="111" spans="2:57" ht="27.75" customHeight="1">
      <c r="C111" s="332" t="s">
        <v>10</v>
      </c>
      <c r="D111" s="358" t="s">
        <v>35</v>
      </c>
      <c r="E111" s="359"/>
      <c r="F111" s="359"/>
      <c r="G111" s="359"/>
      <c r="H111" s="359"/>
      <c r="I111" s="359"/>
      <c r="J111" s="359"/>
      <c r="K111" s="358" t="s">
        <v>503</v>
      </c>
      <c r="L111" s="360"/>
      <c r="M111" s="394" t="s">
        <v>216</v>
      </c>
      <c r="N111" s="395"/>
      <c r="O111" s="395"/>
      <c r="P111" s="395"/>
      <c r="Q111" s="395"/>
      <c r="R111" s="395"/>
      <c r="S111" s="395"/>
      <c r="T111" s="395"/>
      <c r="U111" s="395"/>
      <c r="V111" s="395"/>
      <c r="W111" s="396"/>
      <c r="X111" s="349" t="s">
        <v>206</v>
      </c>
    </row>
    <row r="112" spans="2:57" ht="80.45" customHeight="1">
      <c r="C112" s="333"/>
      <c r="D112" s="361"/>
      <c r="E112" s="362"/>
      <c r="F112" s="362"/>
      <c r="G112" s="362"/>
      <c r="H112" s="362"/>
      <c r="I112" s="362"/>
      <c r="J112" s="362"/>
      <c r="K112" s="361"/>
      <c r="L112" s="363"/>
      <c r="M112" s="397" t="s">
        <v>501</v>
      </c>
      <c r="N112" s="398"/>
      <c r="O112" s="185" t="s">
        <v>513</v>
      </c>
      <c r="P112" s="389" t="s">
        <v>217</v>
      </c>
      <c r="Q112" s="399"/>
      <c r="R112" s="178" t="s">
        <v>505</v>
      </c>
      <c r="S112" s="389" t="s">
        <v>224</v>
      </c>
      <c r="T112" s="390"/>
      <c r="U112" s="177" t="s">
        <v>505</v>
      </c>
      <c r="V112" s="182" t="s">
        <v>228</v>
      </c>
      <c r="W112" s="177" t="s">
        <v>505</v>
      </c>
      <c r="X112" s="349"/>
      <c r="BB112" s="1" t="s">
        <v>509</v>
      </c>
      <c r="BC112" s="1" t="s">
        <v>510</v>
      </c>
    </row>
    <row r="113" spans="1:56" ht="12.75" customHeight="1">
      <c r="C113" s="5">
        <v>1</v>
      </c>
      <c r="D113" s="380" t="s">
        <v>504</v>
      </c>
      <c r="E113" s="393"/>
      <c r="F113" s="393"/>
      <c r="G113" s="393"/>
      <c r="H113" s="393"/>
      <c r="I113" s="393"/>
      <c r="J113" s="393"/>
      <c r="K113" s="391">
        <v>243536</v>
      </c>
      <c r="L113" s="392"/>
      <c r="M113" s="376" t="s">
        <v>208</v>
      </c>
      <c r="N113" s="377"/>
      <c r="O113" s="132"/>
      <c r="P113" s="378" t="s">
        <v>218</v>
      </c>
      <c r="Q113" s="379"/>
      <c r="R113" s="179">
        <f>+IF(P113&lt;&gt;"",2,0)</f>
        <v>2</v>
      </c>
      <c r="S113" s="181"/>
      <c r="T113" s="180"/>
      <c r="U113" s="141"/>
      <c r="V113" s="181"/>
      <c r="W113" s="141">
        <f>IF(V113="",0,IF(V113="จดอนุสิทธิบัตร",3,IF(V113="จดสิทธิบัตร",5,IF(V113="รางวัลระดับชาติ",3,5))))</f>
        <v>0</v>
      </c>
      <c r="X113" s="183">
        <f>+O113+R113+U113+W113</f>
        <v>2</v>
      </c>
      <c r="BB113" s="1">
        <f>IF(S113="",0,IF(T113="อื่นๆ",0,IF(S113="ชาติ",3,5)))</f>
        <v>0</v>
      </c>
      <c r="BC113" s="1">
        <f>IF(T113="",0,IF(T113="อันดับแรก/บรรณกิจ",0,IF(S113="ชาติ",2,4)))</f>
        <v>0</v>
      </c>
    </row>
    <row r="114" spans="1:56" ht="15">
      <c r="C114" s="5">
        <v>2</v>
      </c>
      <c r="D114" s="380" t="s">
        <v>514</v>
      </c>
      <c r="E114" s="381"/>
      <c r="F114" s="381"/>
      <c r="G114" s="381"/>
      <c r="H114" s="381"/>
      <c r="I114" s="381"/>
      <c r="J114" s="381"/>
      <c r="K114" s="350"/>
      <c r="L114" s="352"/>
      <c r="M114" s="376"/>
      <c r="N114" s="377"/>
      <c r="O114" s="132"/>
      <c r="P114" s="378"/>
      <c r="Q114" s="379"/>
      <c r="R114" s="179">
        <f t="shared" ref="R114:R118" si="41">+IF(P114&lt;&gt;"",2,0)</f>
        <v>0</v>
      </c>
      <c r="S114" s="181" t="s">
        <v>508</v>
      </c>
      <c r="T114" s="180" t="s">
        <v>506</v>
      </c>
      <c r="U114" s="141">
        <f t="shared" ref="U114:U118" si="42">SUM(BB114:BC114)</f>
        <v>5</v>
      </c>
      <c r="V114" s="181"/>
      <c r="W114" s="141">
        <f t="shared" ref="W114:W118" si="43">IF(V114="",0,IF(V114="จดอนุสิทธิบัตร",3,IF(V114="จดสิทธิบัตร",5,IF(V114="รางวัลระดับชาติ",3,5))))</f>
        <v>0</v>
      </c>
      <c r="X114" s="183">
        <f t="shared" ref="X114:X118" si="44">+O114+R114+U114+W114</f>
        <v>5</v>
      </c>
      <c r="BB114" s="1">
        <f t="shared" ref="BB114:BB118" si="45">IF(S114="",0,IF(T114="อื่นๆ",0,IF(S114="ชาติ",3,5)))</f>
        <v>5</v>
      </c>
      <c r="BC114" s="1">
        <f t="shared" ref="BC114:BC118" si="46">IF(T114="",0,IF(T114="อันดับแรก/บรรณกิจ",0,IF(S114="ชาติ",2,4)))</f>
        <v>0</v>
      </c>
    </row>
    <row r="115" spans="1:56" ht="15">
      <c r="C115" s="5"/>
      <c r="D115" s="380" t="s">
        <v>514</v>
      </c>
      <c r="E115" s="381"/>
      <c r="F115" s="381"/>
      <c r="G115" s="381"/>
      <c r="H115" s="381"/>
      <c r="I115" s="381"/>
      <c r="J115" s="381"/>
      <c r="K115" s="350"/>
      <c r="L115" s="352"/>
      <c r="M115" s="376"/>
      <c r="N115" s="377"/>
      <c r="O115" s="132"/>
      <c r="P115" s="378"/>
      <c r="Q115" s="379"/>
      <c r="R115" s="179">
        <f t="shared" si="41"/>
        <v>0</v>
      </c>
      <c r="S115" s="181" t="s">
        <v>507</v>
      </c>
      <c r="T115" s="180" t="s">
        <v>511</v>
      </c>
      <c r="U115" s="141">
        <f t="shared" si="42"/>
        <v>2</v>
      </c>
      <c r="V115" s="181"/>
      <c r="W115" s="141">
        <f t="shared" si="43"/>
        <v>0</v>
      </c>
      <c r="X115" s="183">
        <f t="shared" si="44"/>
        <v>2</v>
      </c>
      <c r="BB115" s="1">
        <f t="shared" si="45"/>
        <v>0</v>
      </c>
      <c r="BC115" s="1">
        <f t="shared" si="46"/>
        <v>2</v>
      </c>
    </row>
    <row r="116" spans="1:56" ht="15">
      <c r="C116" s="5"/>
      <c r="D116" s="380"/>
      <c r="E116" s="381"/>
      <c r="F116" s="381"/>
      <c r="G116" s="381"/>
      <c r="H116" s="381"/>
      <c r="I116" s="381"/>
      <c r="J116" s="381"/>
      <c r="K116" s="350"/>
      <c r="L116" s="352"/>
      <c r="M116" s="376"/>
      <c r="N116" s="377"/>
      <c r="O116" s="132"/>
      <c r="P116" s="378"/>
      <c r="Q116" s="379"/>
      <c r="R116" s="179">
        <f t="shared" si="41"/>
        <v>0</v>
      </c>
      <c r="S116" s="181"/>
      <c r="T116" s="180"/>
      <c r="U116" s="141"/>
      <c r="V116" s="181" t="s">
        <v>512</v>
      </c>
      <c r="W116" s="141">
        <f t="shared" si="43"/>
        <v>3</v>
      </c>
      <c r="X116" s="183">
        <f t="shared" si="44"/>
        <v>3</v>
      </c>
      <c r="BB116" s="1">
        <f t="shared" si="45"/>
        <v>0</v>
      </c>
      <c r="BC116" s="1">
        <f t="shared" si="46"/>
        <v>0</v>
      </c>
    </row>
    <row r="117" spans="1:56" ht="15">
      <c r="C117" s="5"/>
      <c r="D117" s="380"/>
      <c r="E117" s="381"/>
      <c r="F117" s="381"/>
      <c r="G117" s="381"/>
      <c r="H117" s="381"/>
      <c r="I117" s="381"/>
      <c r="J117" s="381"/>
      <c r="K117" s="350"/>
      <c r="L117" s="352"/>
      <c r="M117" s="376"/>
      <c r="N117" s="377"/>
      <c r="O117" s="132"/>
      <c r="P117" s="378"/>
      <c r="Q117" s="379"/>
      <c r="R117" s="179">
        <f t="shared" si="41"/>
        <v>0</v>
      </c>
      <c r="S117" s="181"/>
      <c r="T117" s="180"/>
      <c r="U117" s="141">
        <f t="shared" si="42"/>
        <v>0</v>
      </c>
      <c r="V117" s="181" t="s">
        <v>231</v>
      </c>
      <c r="W117" s="141">
        <f t="shared" si="43"/>
        <v>5</v>
      </c>
      <c r="X117" s="183">
        <f t="shared" si="44"/>
        <v>5</v>
      </c>
      <c r="BB117" s="1">
        <f t="shared" si="45"/>
        <v>0</v>
      </c>
      <c r="BC117" s="1">
        <f t="shared" si="46"/>
        <v>0</v>
      </c>
    </row>
    <row r="118" spans="1:56" ht="15">
      <c r="C118" s="5"/>
      <c r="D118" s="380"/>
      <c r="E118" s="381"/>
      <c r="F118" s="381"/>
      <c r="G118" s="381"/>
      <c r="H118" s="381"/>
      <c r="I118" s="381"/>
      <c r="J118" s="381"/>
      <c r="K118" s="350"/>
      <c r="L118" s="352"/>
      <c r="M118" s="376"/>
      <c r="N118" s="377"/>
      <c r="O118" s="132"/>
      <c r="P118" s="378"/>
      <c r="Q118" s="379"/>
      <c r="R118" s="179">
        <f t="shared" si="41"/>
        <v>0</v>
      </c>
      <c r="S118" s="181"/>
      <c r="T118" s="180"/>
      <c r="U118" s="141">
        <f t="shared" si="42"/>
        <v>0</v>
      </c>
      <c r="V118" s="181"/>
      <c r="W118" s="141">
        <f t="shared" si="43"/>
        <v>0</v>
      </c>
      <c r="X118" s="183">
        <f t="shared" si="44"/>
        <v>0</v>
      </c>
      <c r="BB118" s="1">
        <f t="shared" si="45"/>
        <v>0</v>
      </c>
      <c r="BC118" s="1">
        <f t="shared" si="46"/>
        <v>0</v>
      </c>
    </row>
    <row r="119" spans="1:56">
      <c r="C119" s="386" t="s">
        <v>36</v>
      </c>
      <c r="D119" s="387"/>
      <c r="E119" s="387"/>
      <c r="F119" s="387"/>
      <c r="G119" s="387"/>
      <c r="H119" s="387"/>
      <c r="I119" s="387"/>
      <c r="J119" s="387"/>
      <c r="K119" s="387"/>
      <c r="L119" s="387"/>
      <c r="M119" s="387"/>
      <c r="N119" s="387"/>
      <c r="O119" s="387"/>
      <c r="P119" s="387"/>
      <c r="Q119" s="387"/>
      <c r="R119" s="387"/>
      <c r="S119" s="387"/>
      <c r="T119" s="387"/>
      <c r="U119" s="387"/>
      <c r="V119" s="387"/>
      <c r="W119" s="388"/>
      <c r="X119" s="184">
        <f>SUM(X113:X118)</f>
        <v>17</v>
      </c>
    </row>
    <row r="120" spans="1:56" s="18" customFormat="1">
      <c r="C120" s="174" t="s">
        <v>502</v>
      </c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39"/>
    </row>
    <row r="122" spans="1:56">
      <c r="A122" s="1" t="s">
        <v>37</v>
      </c>
    </row>
    <row r="124" spans="1:56">
      <c r="B124" s="1" t="s">
        <v>515</v>
      </c>
    </row>
    <row r="125" spans="1:56" ht="39" customHeight="1">
      <c r="C125" s="332" t="s">
        <v>10</v>
      </c>
      <c r="D125" s="358" t="s">
        <v>38</v>
      </c>
      <c r="E125" s="359"/>
      <c r="F125" s="359"/>
      <c r="G125" s="359"/>
      <c r="H125" s="359"/>
      <c r="I125" s="360"/>
      <c r="J125" s="384" t="s">
        <v>372</v>
      </c>
      <c r="K125" s="539" t="s">
        <v>25</v>
      </c>
      <c r="L125" s="540"/>
      <c r="M125" s="540"/>
      <c r="N125" s="540"/>
      <c r="O125" s="540"/>
      <c r="P125" s="540"/>
      <c r="Q125" s="540"/>
      <c r="R125" s="540"/>
      <c r="S125" s="540"/>
      <c r="T125" s="540"/>
      <c r="U125" s="541"/>
      <c r="V125" s="382" t="s">
        <v>206</v>
      </c>
      <c r="BC125" s="1" t="s">
        <v>516</v>
      </c>
      <c r="BD125" s="1">
        <v>2</v>
      </c>
    </row>
    <row r="126" spans="1:56" ht="39" customHeight="1">
      <c r="C126" s="333"/>
      <c r="D126" s="361"/>
      <c r="E126" s="362"/>
      <c r="F126" s="362"/>
      <c r="G126" s="362"/>
      <c r="H126" s="362"/>
      <c r="I126" s="363"/>
      <c r="J126" s="385"/>
      <c r="K126" s="539" t="s">
        <v>522</v>
      </c>
      <c r="L126" s="540"/>
      <c r="M126" s="540"/>
      <c r="N126" s="540"/>
      <c r="O126" s="540"/>
      <c r="P126" s="540"/>
      <c r="Q126" s="541"/>
      <c r="R126" s="187" t="s">
        <v>505</v>
      </c>
      <c r="S126" s="188" t="s">
        <v>523</v>
      </c>
      <c r="T126" s="188" t="s">
        <v>525</v>
      </c>
      <c r="U126" s="189" t="s">
        <v>82</v>
      </c>
      <c r="V126" s="383"/>
      <c r="BC126" s="1" t="s">
        <v>517</v>
      </c>
      <c r="BD126" s="1">
        <v>1</v>
      </c>
    </row>
    <row r="127" spans="1:56">
      <c r="C127" s="5">
        <v>1</v>
      </c>
      <c r="D127" s="37" t="s">
        <v>521</v>
      </c>
      <c r="E127" s="34"/>
      <c r="F127" s="34"/>
      <c r="G127" s="34"/>
      <c r="H127" s="34"/>
      <c r="I127" s="176"/>
      <c r="J127" s="5">
        <v>1</v>
      </c>
      <c r="K127" s="537" t="s">
        <v>516</v>
      </c>
      <c r="L127" s="538"/>
      <c r="M127" s="538"/>
      <c r="N127" s="538"/>
      <c r="O127" s="538"/>
      <c r="P127" s="538"/>
      <c r="Q127" s="538"/>
      <c r="R127" s="179">
        <f t="shared" ref="R127:R136" si="47">IF(K127="",0,J127*(VLOOKUP(K127,$BC$125:$BD$136,2,FALSE)))</f>
        <v>2</v>
      </c>
      <c r="S127" s="186"/>
      <c r="T127" s="190"/>
      <c r="U127" s="191"/>
      <c r="V127" s="184">
        <f t="shared" ref="V127:V136" si="48">+R127+U127</f>
        <v>2</v>
      </c>
      <c r="BC127" s="1" t="s">
        <v>312</v>
      </c>
      <c r="BD127" s="1">
        <v>0.2</v>
      </c>
    </row>
    <row r="128" spans="1:56">
      <c r="C128" s="5">
        <v>2</v>
      </c>
      <c r="D128" s="37"/>
      <c r="E128" s="34"/>
      <c r="F128" s="34"/>
      <c r="G128" s="34"/>
      <c r="H128" s="34"/>
      <c r="I128" s="176"/>
      <c r="J128" s="5">
        <v>1</v>
      </c>
      <c r="K128" s="537" t="s">
        <v>517</v>
      </c>
      <c r="L128" s="538"/>
      <c r="M128" s="538"/>
      <c r="N128" s="538"/>
      <c r="O128" s="538"/>
      <c r="P128" s="538"/>
      <c r="Q128" s="538"/>
      <c r="R128" s="179">
        <f t="shared" si="47"/>
        <v>1</v>
      </c>
      <c r="S128" s="186"/>
      <c r="T128" s="190"/>
      <c r="U128" s="191"/>
      <c r="V128" s="184">
        <f t="shared" si="48"/>
        <v>1</v>
      </c>
      <c r="BC128" s="1" t="s">
        <v>313</v>
      </c>
      <c r="BD128" s="1">
        <v>0.3</v>
      </c>
    </row>
    <row r="129" spans="2:56">
      <c r="C129" s="5">
        <v>3</v>
      </c>
      <c r="D129" s="37"/>
      <c r="E129" s="34"/>
      <c r="F129" s="34"/>
      <c r="G129" s="34"/>
      <c r="H129" s="34"/>
      <c r="I129" s="176"/>
      <c r="J129" s="5">
        <v>3</v>
      </c>
      <c r="K129" s="537" t="s">
        <v>312</v>
      </c>
      <c r="L129" s="538"/>
      <c r="M129" s="538"/>
      <c r="N129" s="538"/>
      <c r="O129" s="538"/>
      <c r="P129" s="538"/>
      <c r="Q129" s="538"/>
      <c r="R129" s="179">
        <f t="shared" si="47"/>
        <v>0.60000000000000009</v>
      </c>
      <c r="S129" s="186"/>
      <c r="T129" s="190"/>
      <c r="U129" s="191"/>
      <c r="V129" s="184">
        <f t="shared" si="48"/>
        <v>0.60000000000000009</v>
      </c>
      <c r="BC129" s="1" t="s">
        <v>518</v>
      </c>
      <c r="BD129" s="1">
        <v>0.5</v>
      </c>
    </row>
    <row r="130" spans="2:56">
      <c r="C130" s="5">
        <v>4</v>
      </c>
      <c r="D130" s="37"/>
      <c r="E130" s="34"/>
      <c r="F130" s="34"/>
      <c r="G130" s="34"/>
      <c r="H130" s="34"/>
      <c r="I130" s="176"/>
      <c r="J130" s="5">
        <v>1</v>
      </c>
      <c r="K130" s="537"/>
      <c r="L130" s="538"/>
      <c r="M130" s="538"/>
      <c r="N130" s="538"/>
      <c r="O130" s="538"/>
      <c r="P130" s="538"/>
      <c r="Q130" s="538"/>
      <c r="R130" s="179">
        <f t="shared" si="47"/>
        <v>0</v>
      </c>
      <c r="S130" s="186" t="s">
        <v>65</v>
      </c>
      <c r="T130" s="190" t="s">
        <v>526</v>
      </c>
      <c r="U130" s="191">
        <v>0.5</v>
      </c>
      <c r="V130" s="184">
        <f t="shared" si="48"/>
        <v>0.5</v>
      </c>
      <c r="BC130" s="1" t="s">
        <v>519</v>
      </c>
      <c r="BD130" s="1">
        <v>0.6</v>
      </c>
    </row>
    <row r="131" spans="2:56">
      <c r="C131" s="5">
        <v>5</v>
      </c>
      <c r="D131" s="37"/>
      <c r="E131" s="34"/>
      <c r="F131" s="34"/>
      <c r="G131" s="34"/>
      <c r="H131" s="34"/>
      <c r="I131" s="176"/>
      <c r="J131" s="5">
        <v>1</v>
      </c>
      <c r="K131" s="537"/>
      <c r="L131" s="538"/>
      <c r="M131" s="538"/>
      <c r="N131" s="538"/>
      <c r="O131" s="538"/>
      <c r="P131" s="538"/>
      <c r="Q131" s="538"/>
      <c r="R131" s="179">
        <f t="shared" si="47"/>
        <v>0</v>
      </c>
      <c r="S131" s="186"/>
      <c r="T131" s="190"/>
      <c r="U131" s="191"/>
      <c r="V131" s="184">
        <f t="shared" si="48"/>
        <v>0</v>
      </c>
      <c r="BC131" s="1" t="s">
        <v>58</v>
      </c>
      <c r="BD131" s="1">
        <v>1</v>
      </c>
    </row>
    <row r="132" spans="2:56">
      <c r="C132" s="5">
        <v>6</v>
      </c>
      <c r="D132" s="37"/>
      <c r="E132" s="34"/>
      <c r="F132" s="34"/>
      <c r="G132" s="34"/>
      <c r="H132" s="34"/>
      <c r="I132" s="176"/>
      <c r="J132" s="5">
        <v>1</v>
      </c>
      <c r="K132" s="537"/>
      <c r="L132" s="538"/>
      <c r="M132" s="538"/>
      <c r="N132" s="538"/>
      <c r="O132" s="538"/>
      <c r="P132" s="538"/>
      <c r="Q132" s="538"/>
      <c r="R132" s="179">
        <f t="shared" si="47"/>
        <v>0</v>
      </c>
      <c r="S132" s="186"/>
      <c r="T132" s="190"/>
      <c r="U132" s="191"/>
      <c r="V132" s="184">
        <f t="shared" si="48"/>
        <v>0</v>
      </c>
      <c r="BC132" s="1" t="s">
        <v>319</v>
      </c>
      <c r="BD132" s="1">
        <v>5</v>
      </c>
    </row>
    <row r="133" spans="2:56">
      <c r="C133" s="5">
        <v>7</v>
      </c>
      <c r="D133" s="37"/>
      <c r="E133" s="34"/>
      <c r="F133" s="34"/>
      <c r="G133" s="34"/>
      <c r="H133" s="34"/>
      <c r="I133" s="176"/>
      <c r="J133" s="5">
        <v>1</v>
      </c>
      <c r="K133" s="537"/>
      <c r="L133" s="538"/>
      <c r="M133" s="538"/>
      <c r="N133" s="538"/>
      <c r="O133" s="538"/>
      <c r="P133" s="538"/>
      <c r="Q133" s="538"/>
      <c r="R133" s="179">
        <f t="shared" si="47"/>
        <v>0</v>
      </c>
      <c r="S133" s="186"/>
      <c r="T133" s="190"/>
      <c r="U133" s="191"/>
      <c r="V133" s="184">
        <f t="shared" si="48"/>
        <v>0</v>
      </c>
      <c r="BC133" s="1" t="s">
        <v>520</v>
      </c>
      <c r="BD133" s="1">
        <v>3</v>
      </c>
    </row>
    <row r="134" spans="2:56">
      <c r="C134" s="5">
        <v>8</v>
      </c>
      <c r="D134" s="37"/>
      <c r="E134" s="34"/>
      <c r="F134" s="34"/>
      <c r="G134" s="34"/>
      <c r="H134" s="34"/>
      <c r="I134" s="176"/>
      <c r="J134" s="5">
        <v>1</v>
      </c>
      <c r="K134" s="537"/>
      <c r="L134" s="538"/>
      <c r="M134" s="538"/>
      <c r="N134" s="538"/>
      <c r="O134" s="538"/>
      <c r="P134" s="538"/>
      <c r="Q134" s="538"/>
      <c r="R134" s="179">
        <f t="shared" si="47"/>
        <v>0</v>
      </c>
      <c r="S134" s="186"/>
      <c r="T134" s="190"/>
      <c r="U134" s="191"/>
      <c r="V134" s="184">
        <f t="shared" si="48"/>
        <v>0</v>
      </c>
      <c r="BC134" s="1" t="s">
        <v>320</v>
      </c>
      <c r="BD134" s="1">
        <v>0.15</v>
      </c>
    </row>
    <row r="135" spans="2:56">
      <c r="C135" s="5">
        <v>9</v>
      </c>
      <c r="D135" s="37"/>
      <c r="E135" s="34"/>
      <c r="F135" s="34"/>
      <c r="G135" s="34"/>
      <c r="H135" s="34"/>
      <c r="I135" s="176"/>
      <c r="J135" s="5">
        <v>1</v>
      </c>
      <c r="K135" s="537"/>
      <c r="L135" s="538"/>
      <c r="M135" s="538"/>
      <c r="N135" s="538"/>
      <c r="O135" s="538"/>
      <c r="P135" s="538"/>
      <c r="Q135" s="538"/>
      <c r="R135" s="179">
        <f t="shared" si="47"/>
        <v>0</v>
      </c>
      <c r="S135" s="186"/>
      <c r="T135" s="190"/>
      <c r="U135" s="191"/>
      <c r="V135" s="184">
        <f t="shared" si="48"/>
        <v>0</v>
      </c>
      <c r="BC135" s="1" t="s">
        <v>321</v>
      </c>
      <c r="BD135" s="1">
        <v>0.3</v>
      </c>
    </row>
    <row r="136" spans="2:56">
      <c r="C136" s="5">
        <v>10</v>
      </c>
      <c r="D136" s="37"/>
      <c r="E136" s="34"/>
      <c r="F136" s="34"/>
      <c r="G136" s="34"/>
      <c r="H136" s="34"/>
      <c r="I136" s="176"/>
      <c r="J136" s="5"/>
      <c r="K136" s="537"/>
      <c r="L136" s="538"/>
      <c r="M136" s="538"/>
      <c r="N136" s="538"/>
      <c r="O136" s="538"/>
      <c r="P136" s="538"/>
      <c r="Q136" s="538"/>
      <c r="R136" s="179">
        <f t="shared" si="47"/>
        <v>0</v>
      </c>
      <c r="S136" s="186"/>
      <c r="T136" s="190"/>
      <c r="U136" s="191"/>
      <c r="V136" s="184">
        <f t="shared" si="48"/>
        <v>0</v>
      </c>
      <c r="BC136" s="1" t="s">
        <v>60</v>
      </c>
    </row>
    <row r="137" spans="2:56">
      <c r="C137" s="386" t="s">
        <v>39</v>
      </c>
      <c r="D137" s="387"/>
      <c r="E137" s="387"/>
      <c r="F137" s="387"/>
      <c r="G137" s="387"/>
      <c r="H137" s="387"/>
      <c r="I137" s="387"/>
      <c r="J137" s="387"/>
      <c r="K137" s="387"/>
      <c r="L137" s="387"/>
      <c r="M137" s="387"/>
      <c r="N137" s="387"/>
      <c r="O137" s="387"/>
      <c r="P137" s="387"/>
      <c r="Q137" s="387"/>
      <c r="R137" s="387"/>
      <c r="S137" s="387"/>
      <c r="T137" s="387"/>
      <c r="U137" s="388"/>
      <c r="V137" s="184">
        <f>SUM(V127:V136)</f>
        <v>4.0999999999999996</v>
      </c>
    </row>
    <row r="138" spans="2:56">
      <c r="C138" s="174" t="s">
        <v>524</v>
      </c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</row>
    <row r="140" spans="2:56" s="42" customFormat="1">
      <c r="B140" s="16" t="s">
        <v>394</v>
      </c>
    </row>
    <row r="141" spans="2:56" ht="16.5" customHeight="1">
      <c r="C141" s="332" t="s">
        <v>10</v>
      </c>
      <c r="D141" s="358" t="s">
        <v>235</v>
      </c>
      <c r="E141" s="359"/>
      <c r="F141" s="359"/>
      <c r="G141" s="360"/>
      <c r="H141" s="368" t="s">
        <v>193</v>
      </c>
      <c r="I141" s="369" t="s">
        <v>192</v>
      </c>
      <c r="J141" s="370" t="s">
        <v>237</v>
      </c>
      <c r="K141" s="371"/>
      <c r="L141" s="355" t="s">
        <v>236</v>
      </c>
      <c r="M141" s="358" t="s">
        <v>234</v>
      </c>
      <c r="N141" s="359"/>
      <c r="O141" s="359"/>
      <c r="P141" s="359"/>
      <c r="Q141" s="359"/>
      <c r="R141" s="359"/>
      <c r="S141" s="359"/>
      <c r="T141" s="360"/>
      <c r="U141" s="349" t="s">
        <v>206</v>
      </c>
    </row>
    <row r="142" spans="2:56" ht="16.5" customHeight="1">
      <c r="C142" s="333"/>
      <c r="D142" s="365"/>
      <c r="E142" s="366"/>
      <c r="F142" s="366"/>
      <c r="G142" s="367"/>
      <c r="H142" s="368"/>
      <c r="I142" s="369"/>
      <c r="J142" s="372"/>
      <c r="K142" s="373"/>
      <c r="L142" s="356"/>
      <c r="M142" s="361"/>
      <c r="N142" s="362"/>
      <c r="O142" s="362"/>
      <c r="P142" s="362"/>
      <c r="Q142" s="362"/>
      <c r="R142" s="362"/>
      <c r="S142" s="362"/>
      <c r="T142" s="363"/>
      <c r="U142" s="349"/>
    </row>
    <row r="143" spans="2:56" ht="29.25" customHeight="1">
      <c r="C143" s="333"/>
      <c r="D143" s="365"/>
      <c r="E143" s="366"/>
      <c r="F143" s="366"/>
      <c r="G143" s="367"/>
      <c r="H143" s="368"/>
      <c r="I143" s="369"/>
      <c r="J143" s="372"/>
      <c r="K143" s="373"/>
      <c r="L143" s="356"/>
      <c r="M143" s="347" t="s">
        <v>160</v>
      </c>
      <c r="N143" s="347" t="s">
        <v>190</v>
      </c>
      <c r="O143" s="347" t="s">
        <v>189</v>
      </c>
      <c r="P143" s="347" t="s">
        <v>188</v>
      </c>
      <c r="Q143" s="347" t="s">
        <v>187</v>
      </c>
      <c r="R143" s="347" t="s">
        <v>186</v>
      </c>
      <c r="S143" s="347" t="s">
        <v>185</v>
      </c>
      <c r="T143" s="347" t="s">
        <v>184</v>
      </c>
      <c r="U143" s="349"/>
    </row>
    <row r="144" spans="2:56" ht="10.15" customHeight="1">
      <c r="C144" s="364"/>
      <c r="D144" s="361"/>
      <c r="E144" s="362"/>
      <c r="F144" s="362"/>
      <c r="G144" s="363"/>
      <c r="H144" s="368"/>
      <c r="I144" s="369"/>
      <c r="J144" s="374"/>
      <c r="K144" s="375"/>
      <c r="L144" s="357"/>
      <c r="M144" s="348"/>
      <c r="N144" s="348"/>
      <c r="O144" s="348"/>
      <c r="P144" s="348"/>
      <c r="Q144" s="348"/>
      <c r="R144" s="348"/>
      <c r="S144" s="348"/>
      <c r="T144" s="348"/>
      <c r="U144" s="349"/>
    </row>
    <row r="145" spans="1:55">
      <c r="C145" s="5">
        <v>1</v>
      </c>
      <c r="D145" s="350"/>
      <c r="E145" s="351"/>
      <c r="F145" s="351"/>
      <c r="G145" s="352"/>
      <c r="H145" s="5"/>
      <c r="I145" s="5"/>
      <c r="J145" s="353">
        <f>IFERROR(100/L145,"")</f>
        <v>14.285714285714286</v>
      </c>
      <c r="K145" s="354"/>
      <c r="L145" s="129">
        <v>7</v>
      </c>
      <c r="M145" s="9"/>
      <c r="N145" s="9"/>
      <c r="O145" s="9" t="s">
        <v>65</v>
      </c>
      <c r="P145" s="9"/>
      <c r="Q145" s="9"/>
      <c r="R145" s="9"/>
      <c r="S145" s="9"/>
      <c r="T145" s="9"/>
      <c r="U145" s="192">
        <f t="shared" ref="U145:U150" si="49">IFERROR(+$BC145*$J145/100,"")</f>
        <v>1.142857142857143</v>
      </c>
      <c r="BC145" s="130">
        <f>+IF($M145&lt;&gt;"",12,IF($N145&lt;&gt;"",10,IF($O145&lt;&gt;"",8,IF($P145&lt;&gt;"",7,IF($Q145&lt;&gt;"",5,IF($R145&lt;&gt;"",3,IF($S145&lt;&gt;"",2,IF($T145&lt;&gt;"",1,0))))))))</f>
        <v>8</v>
      </c>
    </row>
    <row r="146" spans="1:55">
      <c r="C146" s="5">
        <v>2</v>
      </c>
      <c r="D146" s="350"/>
      <c r="E146" s="351"/>
      <c r="F146" s="351"/>
      <c r="G146" s="352"/>
      <c r="H146" s="5"/>
      <c r="I146" s="5"/>
      <c r="J146" s="353">
        <f t="shared" ref="J146:J150" si="50">IFERROR(100/L146,"")</f>
        <v>50</v>
      </c>
      <c r="K146" s="354"/>
      <c r="L146" s="129">
        <v>2</v>
      </c>
      <c r="M146" s="9" t="s">
        <v>65</v>
      </c>
      <c r="N146" s="9"/>
      <c r="O146" s="9"/>
      <c r="P146" s="9"/>
      <c r="Q146" s="9"/>
      <c r="R146" s="9"/>
      <c r="S146" s="9"/>
      <c r="T146" s="9"/>
      <c r="U146" s="192">
        <f t="shared" si="49"/>
        <v>6</v>
      </c>
      <c r="BC146" s="130">
        <f t="shared" ref="BC146:BC150" si="51">+IF($M146&lt;&gt;"",12,IF($N146&lt;&gt;"",10,IF($O146&lt;&gt;"",8,IF($P146&lt;&gt;"",7,IF($Q146&lt;&gt;"",5,IF($R146&lt;&gt;"",3,IF($S146&lt;&gt;"",2,IF($T146&lt;&gt;"",1,0))))))))</f>
        <v>12</v>
      </c>
    </row>
    <row r="147" spans="1:55">
      <c r="C147" s="5">
        <v>3</v>
      </c>
      <c r="D147" s="350"/>
      <c r="E147" s="351"/>
      <c r="F147" s="351"/>
      <c r="G147" s="352"/>
      <c r="H147" s="5"/>
      <c r="I147" s="5"/>
      <c r="J147" s="353">
        <f t="shared" si="50"/>
        <v>33.333333333333336</v>
      </c>
      <c r="K147" s="354"/>
      <c r="L147" s="129">
        <v>3</v>
      </c>
      <c r="M147" s="9" t="s">
        <v>65</v>
      </c>
      <c r="N147" s="9"/>
      <c r="O147" s="9"/>
      <c r="P147" s="9"/>
      <c r="Q147" s="9"/>
      <c r="R147" s="9"/>
      <c r="S147" s="9"/>
      <c r="T147" s="9"/>
      <c r="U147" s="192">
        <f t="shared" si="49"/>
        <v>4</v>
      </c>
      <c r="BC147" s="130">
        <f t="shared" si="51"/>
        <v>12</v>
      </c>
    </row>
    <row r="148" spans="1:55">
      <c r="C148" s="5">
        <v>4</v>
      </c>
      <c r="D148" s="350"/>
      <c r="E148" s="351"/>
      <c r="F148" s="351"/>
      <c r="G148" s="352"/>
      <c r="H148" s="5"/>
      <c r="I148" s="5"/>
      <c r="J148" s="353" t="str">
        <f t="shared" si="50"/>
        <v/>
      </c>
      <c r="K148" s="354"/>
      <c r="L148" s="129"/>
      <c r="M148" s="9"/>
      <c r="N148" s="9"/>
      <c r="O148" s="9"/>
      <c r="P148" s="9"/>
      <c r="Q148" s="9"/>
      <c r="R148" s="9"/>
      <c r="S148" s="9"/>
      <c r="T148" s="9"/>
      <c r="U148" s="192" t="str">
        <f t="shared" si="49"/>
        <v/>
      </c>
      <c r="BC148" s="130">
        <f t="shared" si="51"/>
        <v>0</v>
      </c>
    </row>
    <row r="149" spans="1:55">
      <c r="C149" s="5">
        <v>5</v>
      </c>
      <c r="D149" s="350"/>
      <c r="E149" s="351"/>
      <c r="F149" s="351"/>
      <c r="G149" s="352"/>
      <c r="H149" s="5"/>
      <c r="I149" s="5"/>
      <c r="J149" s="353" t="str">
        <f t="shared" si="50"/>
        <v/>
      </c>
      <c r="K149" s="354"/>
      <c r="L149" s="129"/>
      <c r="M149" s="9"/>
      <c r="N149" s="9"/>
      <c r="O149" s="9"/>
      <c r="P149" s="9"/>
      <c r="Q149" s="9"/>
      <c r="R149" s="9"/>
      <c r="S149" s="9"/>
      <c r="T149" s="9"/>
      <c r="U149" s="192" t="str">
        <f t="shared" si="49"/>
        <v/>
      </c>
      <c r="BC149" s="130">
        <f t="shared" si="51"/>
        <v>0</v>
      </c>
    </row>
    <row r="150" spans="1:55" ht="15">
      <c r="C150" s="5">
        <v>6</v>
      </c>
      <c r="D150" s="350"/>
      <c r="E150" s="351"/>
      <c r="F150" s="351"/>
      <c r="G150" s="352"/>
      <c r="H150" s="5"/>
      <c r="I150" s="5"/>
      <c r="J150" s="353" t="str">
        <f t="shared" si="50"/>
        <v/>
      </c>
      <c r="K150" s="354"/>
      <c r="L150" s="129"/>
      <c r="M150" s="9"/>
      <c r="N150" s="9"/>
      <c r="O150" s="9"/>
      <c r="P150" s="9"/>
      <c r="Q150" s="9"/>
      <c r="R150" s="9"/>
      <c r="S150" s="9"/>
      <c r="T150" s="9"/>
      <c r="U150" s="192" t="str">
        <f t="shared" si="49"/>
        <v/>
      </c>
      <c r="X150"/>
      <c r="BC150" s="130">
        <f t="shared" si="51"/>
        <v>0</v>
      </c>
    </row>
    <row r="151" spans="1:55" ht="15">
      <c r="C151" s="315" t="s">
        <v>24</v>
      </c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7"/>
      <c r="U151" s="184">
        <f>SUM(U145:U150)</f>
        <v>11.142857142857142</v>
      </c>
      <c r="X151"/>
    </row>
    <row r="152" spans="1:55" ht="15">
      <c r="AA152"/>
    </row>
    <row r="154" spans="1:55">
      <c r="A154" s="1" t="s">
        <v>242</v>
      </c>
    </row>
    <row r="155" spans="1:55">
      <c r="C155" s="332" t="s">
        <v>10</v>
      </c>
      <c r="D155" s="334" t="s">
        <v>243</v>
      </c>
      <c r="E155" s="335"/>
      <c r="F155" s="335"/>
      <c r="G155" s="335"/>
      <c r="H155" s="335"/>
      <c r="I155" s="335"/>
      <c r="J155" s="336"/>
      <c r="K155" s="343" t="s">
        <v>195</v>
      </c>
      <c r="L155" s="344"/>
      <c r="M155" s="344"/>
      <c r="N155" s="344"/>
      <c r="O155" s="344"/>
      <c r="P155" s="344"/>
      <c r="Q155" s="344"/>
      <c r="R155" s="344"/>
      <c r="S155" s="345"/>
      <c r="T155" s="346" t="s">
        <v>241</v>
      </c>
      <c r="U155" s="547" t="s">
        <v>206</v>
      </c>
    </row>
    <row r="156" spans="1:55" ht="45.75" customHeight="1">
      <c r="C156" s="333"/>
      <c r="D156" s="337"/>
      <c r="E156" s="338"/>
      <c r="F156" s="338"/>
      <c r="G156" s="338"/>
      <c r="H156" s="338"/>
      <c r="I156" s="338"/>
      <c r="J156" s="339"/>
      <c r="K156" s="343" t="s">
        <v>238</v>
      </c>
      <c r="L156" s="344"/>
      <c r="M156" s="345"/>
      <c r="N156" s="343" t="s">
        <v>239</v>
      </c>
      <c r="O156" s="344"/>
      <c r="P156" s="345"/>
      <c r="Q156" s="328" t="s">
        <v>240</v>
      </c>
      <c r="R156" s="329"/>
      <c r="S156" s="330"/>
      <c r="T156" s="347"/>
      <c r="U156" s="547"/>
    </row>
    <row r="157" spans="1:55">
      <c r="C157" s="333"/>
      <c r="D157" s="340"/>
      <c r="E157" s="341"/>
      <c r="F157" s="341"/>
      <c r="G157" s="341"/>
      <c r="H157" s="341"/>
      <c r="I157" s="341"/>
      <c r="J157" s="342"/>
      <c r="K157" s="6" t="s">
        <v>26</v>
      </c>
      <c r="L157" s="6" t="s">
        <v>27</v>
      </c>
      <c r="M157" s="6" t="s">
        <v>28</v>
      </c>
      <c r="N157" s="6" t="s">
        <v>29</v>
      </c>
      <c r="O157" s="6" t="s">
        <v>30</v>
      </c>
      <c r="P157" s="6" t="s">
        <v>31</v>
      </c>
      <c r="Q157" s="6" t="s">
        <v>32</v>
      </c>
      <c r="R157" s="6" t="s">
        <v>33</v>
      </c>
      <c r="S157" s="6" t="s">
        <v>34</v>
      </c>
      <c r="T157" s="348"/>
      <c r="U157" s="547"/>
    </row>
    <row r="158" spans="1:55">
      <c r="C158" s="5"/>
      <c r="D158" s="37"/>
      <c r="E158" s="34"/>
      <c r="F158" s="34"/>
      <c r="G158" s="34"/>
      <c r="H158" s="34"/>
      <c r="I158" s="34"/>
      <c r="J158" s="34"/>
      <c r="K158" s="9" t="s">
        <v>65</v>
      </c>
      <c r="L158" s="9"/>
      <c r="M158" s="9"/>
      <c r="N158" s="9"/>
      <c r="O158" s="9"/>
      <c r="P158" s="9"/>
      <c r="Q158" s="9"/>
      <c r="R158" s="9"/>
      <c r="S158" s="9"/>
      <c r="T158" s="5">
        <v>1</v>
      </c>
      <c r="U158" s="184">
        <f>IF(OR(K158&lt;&gt;"",N158&lt;&gt;""),2*T158,IF(OR(L158&lt;&gt;"",O158&lt;&gt;""),1*T158,IF(OR(M158&lt;&gt;"",P158&lt;&gt;""),0.2*T158,IF(Q158&lt;&gt;"",2,IF(R158&lt;&gt;"",1,IF(S158&lt;&gt;"",0.5,0))))))</f>
        <v>2</v>
      </c>
    </row>
    <row r="159" spans="1:55">
      <c r="C159" s="5"/>
      <c r="D159" s="37"/>
      <c r="E159" s="34"/>
      <c r="F159" s="34"/>
      <c r="G159" s="34"/>
      <c r="H159" s="34"/>
      <c r="I159" s="34"/>
      <c r="J159" s="34"/>
      <c r="K159" s="9"/>
      <c r="L159" s="9"/>
      <c r="M159" s="9"/>
      <c r="N159" s="9" t="s">
        <v>65</v>
      </c>
      <c r="O159" s="9"/>
      <c r="P159" s="9"/>
      <c r="Q159" s="9"/>
      <c r="R159" s="9"/>
      <c r="S159" s="9"/>
      <c r="T159" s="5">
        <v>1</v>
      </c>
      <c r="U159" s="184">
        <f t="shared" ref="U159:U164" si="52">IF(OR(K159&lt;&gt;"",N159&lt;&gt;""),2*T159,IF(OR(L159&lt;&gt;"",O159&lt;&gt;""),1*T159,IF(OR(M159&lt;&gt;"",P159&lt;&gt;""),0.2*T159,IF(Q159&lt;&gt;"",2,IF(R159&lt;&gt;"",1,IF(S159&lt;&gt;"",0.5,0))))))</f>
        <v>2</v>
      </c>
    </row>
    <row r="160" spans="1:55">
      <c r="C160" s="5"/>
      <c r="D160" s="37"/>
      <c r="E160" s="34"/>
      <c r="F160" s="34"/>
      <c r="G160" s="34"/>
      <c r="H160" s="34"/>
      <c r="I160" s="34"/>
      <c r="J160" s="34"/>
      <c r="K160" s="9"/>
      <c r="L160" s="9"/>
      <c r="M160" s="9"/>
      <c r="N160" s="9"/>
      <c r="O160" s="9"/>
      <c r="P160" s="9"/>
      <c r="Q160" s="9" t="s">
        <v>65</v>
      </c>
      <c r="R160" s="9"/>
      <c r="S160" s="9"/>
      <c r="T160" s="5">
        <v>1</v>
      </c>
      <c r="U160" s="184">
        <f t="shared" si="52"/>
        <v>2</v>
      </c>
    </row>
    <row r="161" spans="1:24">
      <c r="C161" s="5"/>
      <c r="D161" s="37"/>
      <c r="E161" s="34"/>
      <c r="F161" s="34"/>
      <c r="G161" s="34"/>
      <c r="H161" s="34"/>
      <c r="I161" s="34"/>
      <c r="J161" s="34"/>
      <c r="K161" s="9"/>
      <c r="L161" s="9"/>
      <c r="M161" s="9"/>
      <c r="N161" s="9"/>
      <c r="O161" s="9"/>
      <c r="P161" s="9"/>
      <c r="Q161" s="9"/>
      <c r="R161" s="9"/>
      <c r="S161" s="9"/>
      <c r="T161" s="5"/>
      <c r="U161" s="184">
        <f t="shared" si="52"/>
        <v>0</v>
      </c>
    </row>
    <row r="162" spans="1:24">
      <c r="C162" s="5"/>
      <c r="D162" s="37"/>
      <c r="E162" s="34"/>
      <c r="F162" s="34"/>
      <c r="G162" s="34"/>
      <c r="H162" s="34"/>
      <c r="I162" s="34"/>
      <c r="J162" s="34"/>
      <c r="K162" s="9"/>
      <c r="L162" s="9"/>
      <c r="M162" s="9"/>
      <c r="N162" s="9"/>
      <c r="O162" s="9"/>
      <c r="P162" s="9"/>
      <c r="Q162" s="9"/>
      <c r="R162" s="9"/>
      <c r="S162" s="9"/>
      <c r="T162" s="5"/>
      <c r="U162" s="184">
        <f t="shared" si="52"/>
        <v>0</v>
      </c>
    </row>
    <row r="163" spans="1:24">
      <c r="C163" s="5"/>
      <c r="D163" s="37"/>
      <c r="E163" s="34"/>
      <c r="F163" s="34"/>
      <c r="G163" s="34"/>
      <c r="H163" s="34"/>
      <c r="I163" s="34"/>
      <c r="J163" s="34"/>
      <c r="K163" s="9"/>
      <c r="L163" s="9"/>
      <c r="M163" s="9"/>
      <c r="N163" s="9"/>
      <c r="O163" s="9"/>
      <c r="P163" s="9"/>
      <c r="Q163" s="9"/>
      <c r="R163" s="9"/>
      <c r="S163" s="9"/>
      <c r="T163" s="5"/>
      <c r="U163" s="184">
        <f t="shared" si="52"/>
        <v>0</v>
      </c>
    </row>
    <row r="164" spans="1:24">
      <c r="C164" s="5"/>
      <c r="D164" s="37"/>
      <c r="E164" s="34"/>
      <c r="F164" s="34"/>
      <c r="G164" s="34"/>
      <c r="H164" s="34"/>
      <c r="I164" s="34"/>
      <c r="J164" s="34"/>
      <c r="K164" s="9"/>
      <c r="L164" s="9"/>
      <c r="M164" s="9"/>
      <c r="N164" s="9"/>
      <c r="O164" s="9"/>
      <c r="P164" s="9"/>
      <c r="Q164" s="9"/>
      <c r="R164" s="9"/>
      <c r="S164" s="9"/>
      <c r="T164" s="5"/>
      <c r="U164" s="184">
        <f t="shared" si="52"/>
        <v>0</v>
      </c>
    </row>
    <row r="165" spans="1:24">
      <c r="C165" s="315" t="s">
        <v>40</v>
      </c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7"/>
      <c r="U165" s="184">
        <f>SUM(U158:U164)</f>
        <v>6</v>
      </c>
    </row>
    <row r="166" spans="1:24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4">
      <c r="A167" s="1" t="s">
        <v>365</v>
      </c>
    </row>
    <row r="168" spans="1:24" ht="40.5" customHeight="1">
      <c r="C168" s="318" t="s">
        <v>10</v>
      </c>
      <c r="D168" s="325" t="s">
        <v>366</v>
      </c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7"/>
      <c r="P168" s="328" t="s">
        <v>367</v>
      </c>
      <c r="Q168" s="329"/>
      <c r="R168" s="329"/>
      <c r="S168" s="329"/>
      <c r="T168" s="329"/>
      <c r="U168" s="329"/>
      <c r="V168" s="329"/>
      <c r="W168" s="330"/>
      <c r="X168" s="546" t="s">
        <v>206</v>
      </c>
    </row>
    <row r="169" spans="1:24" ht="40.5" customHeight="1">
      <c r="C169" s="318"/>
      <c r="D169" s="318" t="s">
        <v>68</v>
      </c>
      <c r="E169" s="318"/>
      <c r="F169" s="43" t="s">
        <v>70</v>
      </c>
      <c r="G169" s="318" t="s">
        <v>71</v>
      </c>
      <c r="H169" s="318"/>
      <c r="I169" s="318"/>
      <c r="J169" s="318"/>
      <c r="K169" s="318"/>
      <c r="L169" s="318"/>
      <c r="M169" s="318" t="s">
        <v>69</v>
      </c>
      <c r="N169" s="318"/>
      <c r="O169" s="318"/>
      <c r="P169" s="6" t="s">
        <v>26</v>
      </c>
      <c r="Q169" s="6" t="s">
        <v>27</v>
      </c>
      <c r="R169" s="6" t="s">
        <v>28</v>
      </c>
      <c r="S169" s="48" t="s">
        <v>29</v>
      </c>
      <c r="T169" s="48" t="s">
        <v>30</v>
      </c>
      <c r="U169" s="48" t="s">
        <v>31</v>
      </c>
      <c r="V169" s="48" t="s">
        <v>32</v>
      </c>
      <c r="W169" s="48" t="s">
        <v>33</v>
      </c>
      <c r="X169" s="546"/>
    </row>
    <row r="170" spans="1:24">
      <c r="C170" s="5"/>
      <c r="D170" s="313"/>
      <c r="E170" s="313"/>
      <c r="F170" s="12"/>
      <c r="G170" s="314"/>
      <c r="H170" s="314"/>
      <c r="I170" s="314"/>
      <c r="J170" s="314"/>
      <c r="K170" s="314"/>
      <c r="L170" s="314"/>
      <c r="M170" s="314"/>
      <c r="N170" s="314"/>
      <c r="O170" s="314"/>
      <c r="P170" s="9"/>
      <c r="Q170" s="9"/>
      <c r="R170" s="9"/>
      <c r="S170" s="9"/>
      <c r="T170" s="9"/>
      <c r="U170" s="9"/>
      <c r="V170" s="9"/>
      <c r="W170" s="9"/>
      <c r="X170" s="203"/>
    </row>
    <row r="171" spans="1:24">
      <c r="C171" s="5"/>
      <c r="D171" s="313"/>
      <c r="E171" s="313"/>
      <c r="F171" s="12"/>
      <c r="G171" s="314"/>
      <c r="H171" s="314"/>
      <c r="I171" s="314"/>
      <c r="J171" s="314"/>
      <c r="K171" s="314"/>
      <c r="L171" s="314"/>
      <c r="M171" s="314"/>
      <c r="N171" s="314"/>
      <c r="O171" s="314"/>
      <c r="P171" s="9"/>
      <c r="Q171" s="9"/>
      <c r="R171" s="9"/>
      <c r="S171" s="9"/>
      <c r="T171" s="9"/>
      <c r="U171" s="9"/>
      <c r="V171" s="9"/>
      <c r="W171" s="9"/>
      <c r="X171" s="203"/>
    </row>
    <row r="172" spans="1:24">
      <c r="C172" s="5"/>
      <c r="D172" s="313"/>
      <c r="E172" s="313"/>
      <c r="F172" s="12"/>
      <c r="G172" s="314"/>
      <c r="H172" s="314"/>
      <c r="I172" s="314"/>
      <c r="J172" s="314"/>
      <c r="K172" s="314"/>
      <c r="L172" s="314"/>
      <c r="M172" s="314"/>
      <c r="N172" s="314"/>
      <c r="O172" s="314"/>
      <c r="P172" s="9"/>
      <c r="Q172" s="9"/>
      <c r="R172" s="9"/>
      <c r="S172" s="9"/>
      <c r="T172" s="9"/>
      <c r="U172" s="9"/>
      <c r="V172" s="9"/>
      <c r="W172" s="9"/>
      <c r="X172" s="203"/>
    </row>
    <row r="173" spans="1:24">
      <c r="C173" s="5"/>
      <c r="D173" s="313"/>
      <c r="E173" s="313"/>
      <c r="F173" s="12"/>
      <c r="G173" s="314"/>
      <c r="H173" s="314"/>
      <c r="I173" s="314"/>
      <c r="J173" s="314"/>
      <c r="K173" s="314"/>
      <c r="L173" s="314"/>
      <c r="M173" s="314"/>
      <c r="N173" s="314"/>
      <c r="O173" s="314"/>
      <c r="P173" s="9"/>
      <c r="Q173" s="9"/>
      <c r="R173" s="9"/>
      <c r="S173" s="9"/>
      <c r="T173" s="9"/>
      <c r="U173" s="9"/>
      <c r="V173" s="9"/>
      <c r="W173" s="9"/>
      <c r="X173" s="203"/>
    </row>
    <row r="174" spans="1:24">
      <c r="C174" s="5"/>
      <c r="D174" s="313"/>
      <c r="E174" s="313"/>
      <c r="F174" s="12"/>
      <c r="G174" s="314"/>
      <c r="H174" s="314"/>
      <c r="I174" s="314"/>
      <c r="J174" s="314"/>
      <c r="K174" s="314"/>
      <c r="L174" s="314"/>
      <c r="M174" s="314"/>
      <c r="N174" s="314"/>
      <c r="O174" s="314"/>
      <c r="P174" s="9"/>
      <c r="Q174" s="9"/>
      <c r="R174" s="9"/>
      <c r="S174" s="9"/>
      <c r="T174" s="9"/>
      <c r="U174" s="9"/>
      <c r="V174" s="9"/>
      <c r="W174" s="9"/>
      <c r="X174" s="203"/>
    </row>
    <row r="175" spans="1:24">
      <c r="C175" s="315" t="s">
        <v>368</v>
      </c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7"/>
      <c r="X175" s="184">
        <f>SUM(X170:X174)</f>
        <v>0</v>
      </c>
    </row>
    <row r="177" spans="1:23">
      <c r="A177" s="1" t="s">
        <v>67</v>
      </c>
    </row>
    <row r="179" spans="1:23" ht="36">
      <c r="C179" s="43" t="s">
        <v>10</v>
      </c>
      <c r="D179" s="318" t="s">
        <v>69</v>
      </c>
      <c r="E179" s="318"/>
      <c r="F179" s="318"/>
      <c r="G179" s="318"/>
      <c r="H179" s="318"/>
      <c r="I179" s="318"/>
      <c r="J179" s="318"/>
      <c r="K179" s="318"/>
      <c r="L179" s="318"/>
      <c r="M179" s="205" t="s">
        <v>370</v>
      </c>
    </row>
    <row r="180" spans="1:23">
      <c r="C180" s="5"/>
      <c r="D180" s="314"/>
      <c r="E180" s="314"/>
      <c r="F180" s="314"/>
      <c r="G180" s="314"/>
      <c r="H180" s="314"/>
      <c r="I180" s="314"/>
      <c r="J180" s="314"/>
      <c r="K180" s="314"/>
      <c r="L180" s="314"/>
      <c r="M180" s="203"/>
    </row>
    <row r="181" spans="1:23">
      <c r="C181" s="5"/>
      <c r="D181" s="314"/>
      <c r="E181" s="314"/>
      <c r="F181" s="314"/>
      <c r="G181" s="314"/>
      <c r="H181" s="314"/>
      <c r="I181" s="314"/>
      <c r="J181" s="314"/>
      <c r="K181" s="314"/>
      <c r="L181" s="314"/>
      <c r="M181" s="203"/>
    </row>
    <row r="182" spans="1:23">
      <c r="C182" s="315" t="s">
        <v>83</v>
      </c>
      <c r="D182" s="316"/>
      <c r="E182" s="316"/>
      <c r="F182" s="316"/>
      <c r="G182" s="316"/>
      <c r="H182" s="316"/>
      <c r="I182" s="316"/>
      <c r="J182" s="316"/>
      <c r="K182" s="316"/>
      <c r="L182" s="317"/>
      <c r="M182" s="184">
        <f>SUM(M180:M181)</f>
        <v>0</v>
      </c>
    </row>
    <row r="184" spans="1:23">
      <c r="A184" s="1" t="s">
        <v>84</v>
      </c>
    </row>
    <row r="186" spans="1:23" ht="36">
      <c r="C186" s="43" t="s">
        <v>10</v>
      </c>
      <c r="D186" s="318" t="s">
        <v>369</v>
      </c>
      <c r="E186" s="318"/>
      <c r="F186" s="318"/>
      <c r="G186" s="318"/>
      <c r="H186" s="318"/>
      <c r="I186" s="318"/>
      <c r="J186" s="318"/>
      <c r="K186" s="318"/>
      <c r="L186" s="318"/>
      <c r="M186" s="205" t="s">
        <v>370</v>
      </c>
      <c r="O186" s="1" t="s">
        <v>90</v>
      </c>
    </row>
    <row r="187" spans="1:23">
      <c r="C187" s="5">
        <v>1</v>
      </c>
      <c r="D187" s="314" t="str">
        <f>IF(M187&lt;20,"ภาระการสอนไม่เป็นไปตามเกณฑ์ (น้อยกว่า 20 ภาระงาน / สัปดาห์)","ภาระการสอน")</f>
        <v>ภาระการสอน</v>
      </c>
      <c r="E187" s="314"/>
      <c r="F187" s="314"/>
      <c r="G187" s="314"/>
      <c r="H187" s="314"/>
      <c r="I187" s="314"/>
      <c r="J187" s="314"/>
      <c r="K187" s="314"/>
      <c r="L187" s="314"/>
      <c r="M187" s="184">
        <f>+P30+X46+W60+U81+Q94</f>
        <v>112.35000000000002</v>
      </c>
      <c r="O187" s="319" t="s">
        <v>91</v>
      </c>
      <c r="P187" s="319"/>
      <c r="Q187" s="319"/>
      <c r="R187" s="319"/>
      <c r="S187" s="319"/>
      <c r="T187" s="319"/>
      <c r="U187" s="319"/>
      <c r="V187" s="319"/>
      <c r="W187" s="319"/>
    </row>
    <row r="188" spans="1:23">
      <c r="C188" s="5">
        <v>2</v>
      </c>
      <c r="D188" s="314" t="s">
        <v>377</v>
      </c>
      <c r="E188" s="314"/>
      <c r="F188" s="314"/>
      <c r="G188" s="314"/>
      <c r="H188" s="314"/>
      <c r="I188" s="314"/>
      <c r="J188" s="314"/>
      <c r="K188" s="314"/>
      <c r="L188" s="314"/>
      <c r="M188" s="184">
        <f>+X108+X119</f>
        <v>43</v>
      </c>
      <c r="O188" s="319" t="s">
        <v>92</v>
      </c>
      <c r="P188" s="319"/>
      <c r="Q188" s="319"/>
      <c r="R188" s="319"/>
      <c r="S188" s="319"/>
      <c r="T188" s="319"/>
      <c r="U188" s="319"/>
      <c r="V188" s="319"/>
      <c r="W188" s="319"/>
    </row>
    <row r="189" spans="1:23">
      <c r="C189" s="5">
        <v>3</v>
      </c>
      <c r="D189" s="314" t="s">
        <v>375</v>
      </c>
      <c r="E189" s="314"/>
      <c r="F189" s="314"/>
      <c r="G189" s="314"/>
      <c r="H189" s="314"/>
      <c r="I189" s="314"/>
      <c r="J189" s="314"/>
      <c r="K189" s="314"/>
      <c r="L189" s="314"/>
      <c r="M189" s="184">
        <f>+V137+U151</f>
        <v>15.242857142857142</v>
      </c>
      <c r="O189" s="322"/>
      <c r="P189" s="322"/>
      <c r="Q189" s="322"/>
      <c r="R189" s="322"/>
      <c r="S189" s="322"/>
      <c r="T189" s="322"/>
      <c r="U189" s="322"/>
      <c r="V189" s="322"/>
    </row>
    <row r="190" spans="1:23">
      <c r="C190" s="5">
        <v>4</v>
      </c>
      <c r="D190" s="314" t="s">
        <v>85</v>
      </c>
      <c r="E190" s="314"/>
      <c r="F190" s="314"/>
      <c r="G190" s="314"/>
      <c r="H190" s="314"/>
      <c r="I190" s="314"/>
      <c r="J190" s="314"/>
      <c r="K190" s="314"/>
      <c r="L190" s="314"/>
      <c r="M190" s="184">
        <f>+U165</f>
        <v>6</v>
      </c>
      <c r="O190" s="322"/>
      <c r="P190" s="322"/>
      <c r="Q190" s="322"/>
      <c r="R190" s="322"/>
      <c r="S190" s="322"/>
      <c r="T190" s="322"/>
      <c r="U190" s="322"/>
      <c r="V190" s="322"/>
    </row>
    <row r="191" spans="1:23">
      <c r="C191" s="5">
        <v>5</v>
      </c>
      <c r="D191" s="314" t="s">
        <v>376</v>
      </c>
      <c r="E191" s="314"/>
      <c r="F191" s="314"/>
      <c r="G191" s="314"/>
      <c r="H191" s="314"/>
      <c r="I191" s="314"/>
      <c r="J191" s="314"/>
      <c r="K191" s="314"/>
      <c r="L191" s="314"/>
      <c r="M191" s="184">
        <f>+X175</f>
        <v>0</v>
      </c>
      <c r="O191" s="322"/>
      <c r="P191" s="322"/>
      <c r="Q191" s="322"/>
      <c r="R191" s="322"/>
      <c r="S191" s="322"/>
      <c r="T191" s="322"/>
      <c r="U191" s="322"/>
      <c r="V191" s="322"/>
    </row>
    <row r="192" spans="1:23">
      <c r="C192" s="5">
        <v>6</v>
      </c>
      <c r="D192" s="314" t="s">
        <v>86</v>
      </c>
      <c r="E192" s="314"/>
      <c r="F192" s="314"/>
      <c r="G192" s="314"/>
      <c r="H192" s="314"/>
      <c r="I192" s="314"/>
      <c r="J192" s="314"/>
      <c r="K192" s="314"/>
      <c r="L192" s="314"/>
      <c r="M192" s="184">
        <f>+M182</f>
        <v>0</v>
      </c>
      <c r="O192" s="322"/>
      <c r="P192" s="322"/>
      <c r="Q192" s="322"/>
      <c r="R192" s="322"/>
      <c r="S192" s="322"/>
      <c r="T192" s="322"/>
      <c r="U192" s="322"/>
      <c r="V192" s="322"/>
    </row>
    <row r="193" spans="1:22">
      <c r="C193" s="315" t="s">
        <v>373</v>
      </c>
      <c r="D193" s="316"/>
      <c r="E193" s="316"/>
      <c r="F193" s="316"/>
      <c r="G193" s="316"/>
      <c r="H193" s="316"/>
      <c r="I193" s="316"/>
      <c r="J193" s="316"/>
      <c r="K193" s="316"/>
      <c r="L193" s="317"/>
      <c r="M193" s="184">
        <f>SUM(M187:M192)</f>
        <v>176.59285714285716</v>
      </c>
    </row>
    <row r="194" spans="1:22">
      <c r="C194" s="1" t="s">
        <v>527</v>
      </c>
    </row>
    <row r="195" spans="1:22">
      <c r="D195" s="55" t="s">
        <v>65</v>
      </c>
      <c r="E195" s="319" t="s">
        <v>386</v>
      </c>
      <c r="F195" s="319"/>
      <c r="G195" s="319"/>
      <c r="O195" s="320" t="s">
        <v>93</v>
      </c>
      <c r="P195" s="320"/>
      <c r="Q195" s="320"/>
      <c r="R195" s="320"/>
      <c r="S195" s="320"/>
      <c r="T195" s="320"/>
      <c r="U195" s="320"/>
      <c r="V195" s="320"/>
    </row>
    <row r="196" spans="1:22">
      <c r="D196" s="55"/>
      <c r="E196" s="319" t="s">
        <v>387</v>
      </c>
      <c r="F196" s="319"/>
      <c r="G196" s="319"/>
      <c r="O196" s="320"/>
      <c r="P196" s="320"/>
      <c r="Q196" s="320"/>
      <c r="R196" s="320"/>
      <c r="S196" s="320"/>
      <c r="T196" s="320"/>
      <c r="U196" s="320"/>
      <c r="V196" s="320"/>
    </row>
    <row r="197" spans="1:22">
      <c r="D197" s="55"/>
      <c r="E197" s="319" t="s">
        <v>388</v>
      </c>
      <c r="F197" s="319"/>
      <c r="G197" s="319"/>
      <c r="H197" s="319"/>
      <c r="I197" s="319"/>
      <c r="J197" s="319"/>
      <c r="K197" s="319"/>
      <c r="L197" s="319"/>
      <c r="O197" s="320"/>
      <c r="P197" s="320"/>
      <c r="Q197" s="320"/>
      <c r="R197" s="320"/>
      <c r="S197" s="320"/>
      <c r="T197" s="320"/>
      <c r="U197" s="320"/>
      <c r="V197" s="320"/>
    </row>
    <row r="198" spans="1:22">
      <c r="D198" s="55" t="s">
        <v>65</v>
      </c>
      <c r="E198" s="320" t="s">
        <v>389</v>
      </c>
      <c r="F198" s="320"/>
      <c r="G198" s="321"/>
      <c r="H198" s="321"/>
      <c r="I198" s="321"/>
      <c r="J198" s="321"/>
      <c r="K198" s="321"/>
      <c r="L198" s="321"/>
      <c r="M198" s="321"/>
      <c r="N198" s="321"/>
      <c r="O198" s="320" t="s">
        <v>94</v>
      </c>
      <c r="P198" s="320"/>
      <c r="Q198" s="320"/>
      <c r="R198" s="320"/>
      <c r="S198" s="320"/>
      <c r="T198" s="320"/>
      <c r="U198" s="320"/>
      <c r="V198" s="320"/>
    </row>
    <row r="199" spans="1:22">
      <c r="O199" s="320" t="s">
        <v>95</v>
      </c>
      <c r="P199" s="320"/>
      <c r="Q199" s="320"/>
      <c r="R199" s="320"/>
      <c r="S199" s="320"/>
      <c r="T199" s="320"/>
      <c r="U199" s="320"/>
      <c r="V199" s="320"/>
    </row>
    <row r="200" spans="1:22">
      <c r="A200" s="1" t="s">
        <v>96</v>
      </c>
    </row>
    <row r="201" spans="1:22" ht="14.25" customHeight="1">
      <c r="C201" s="1" t="s">
        <v>97</v>
      </c>
      <c r="I201" s="323"/>
      <c r="J201" s="323"/>
      <c r="K201" s="323"/>
      <c r="L201" s="323"/>
      <c r="M201" s="323"/>
      <c r="O201" s="1" t="s">
        <v>103</v>
      </c>
    </row>
    <row r="202" spans="1:22" ht="4.5" customHeight="1">
      <c r="I202" s="15"/>
      <c r="J202" s="15"/>
      <c r="K202" s="15"/>
      <c r="L202" s="15"/>
      <c r="M202" s="15"/>
    </row>
    <row r="203" spans="1:22">
      <c r="C203" s="1" t="s">
        <v>98</v>
      </c>
      <c r="E203" s="54"/>
      <c r="F203" s="1" t="s">
        <v>99</v>
      </c>
      <c r="I203" s="54"/>
      <c r="J203" s="1" t="s">
        <v>100</v>
      </c>
      <c r="O203" s="320"/>
      <c r="P203" s="320"/>
      <c r="Q203" s="320"/>
      <c r="R203" s="320"/>
      <c r="S203" s="320"/>
      <c r="T203" s="320"/>
      <c r="U203" s="320"/>
      <c r="V203" s="320"/>
    </row>
    <row r="204" spans="1:22" ht="29.45" customHeight="1">
      <c r="C204" s="324" t="s">
        <v>528</v>
      </c>
      <c r="D204" s="324"/>
      <c r="E204" s="324"/>
      <c r="F204" s="324"/>
      <c r="G204" s="324"/>
      <c r="H204" s="324"/>
      <c r="I204" s="324"/>
      <c r="J204" s="324"/>
      <c r="K204" s="324"/>
      <c r="L204" s="324"/>
      <c r="M204" s="324"/>
      <c r="N204" s="324"/>
      <c r="O204" s="323"/>
      <c r="P204" s="323"/>
      <c r="Q204" s="323"/>
      <c r="R204" s="323"/>
      <c r="S204" s="323"/>
      <c r="T204" s="323"/>
      <c r="U204" s="323"/>
      <c r="V204" s="323"/>
    </row>
    <row r="205" spans="1:22">
      <c r="C205" s="320"/>
      <c r="D205" s="320"/>
      <c r="E205" s="320"/>
      <c r="F205" s="320"/>
      <c r="G205" s="320"/>
      <c r="H205" s="320"/>
      <c r="I205" s="320"/>
      <c r="J205" s="320"/>
      <c r="K205" s="320"/>
      <c r="O205" s="320"/>
      <c r="P205" s="320"/>
      <c r="Q205" s="320"/>
      <c r="R205" s="320"/>
      <c r="S205" s="320"/>
      <c r="T205" s="320"/>
      <c r="U205" s="320"/>
      <c r="V205" s="320"/>
    </row>
    <row r="206" spans="1:22">
      <c r="C206" s="320"/>
      <c r="D206" s="320"/>
      <c r="E206" s="320"/>
      <c r="F206" s="320"/>
      <c r="G206" s="320"/>
      <c r="H206" s="320"/>
      <c r="I206" s="320"/>
      <c r="J206" s="320"/>
      <c r="K206" s="320"/>
      <c r="O206" s="320"/>
      <c r="P206" s="320"/>
      <c r="Q206" s="320"/>
      <c r="R206" s="320"/>
      <c r="S206" s="320"/>
      <c r="T206" s="320"/>
      <c r="U206" s="320"/>
      <c r="V206" s="320"/>
    </row>
    <row r="207" spans="1:22">
      <c r="C207" s="320" t="s">
        <v>94</v>
      </c>
      <c r="D207" s="320"/>
      <c r="E207" s="320"/>
      <c r="F207" s="320"/>
      <c r="G207" s="320"/>
      <c r="H207" s="320"/>
      <c r="I207" s="320"/>
      <c r="J207" s="320"/>
      <c r="K207" s="320"/>
      <c r="O207" s="320" t="s">
        <v>94</v>
      </c>
      <c r="P207" s="320"/>
      <c r="Q207" s="320"/>
      <c r="R207" s="320"/>
      <c r="S207" s="320"/>
      <c r="T207" s="320"/>
      <c r="U207" s="320"/>
      <c r="V207" s="320"/>
    </row>
    <row r="208" spans="1:22">
      <c r="C208" s="320" t="s">
        <v>101</v>
      </c>
      <c r="D208" s="320"/>
      <c r="E208" s="320"/>
      <c r="F208" s="320"/>
      <c r="G208" s="320"/>
      <c r="H208" s="320"/>
      <c r="I208" s="320"/>
      <c r="J208" s="320"/>
      <c r="K208" s="320"/>
      <c r="O208" s="320" t="s">
        <v>101</v>
      </c>
      <c r="P208" s="320"/>
      <c r="Q208" s="320"/>
      <c r="R208" s="320"/>
      <c r="S208" s="320"/>
      <c r="T208" s="320"/>
      <c r="U208" s="320"/>
      <c r="V208" s="320"/>
    </row>
    <row r="209" spans="3:22">
      <c r="C209" s="320" t="s">
        <v>102</v>
      </c>
      <c r="D209" s="320"/>
      <c r="E209" s="320"/>
      <c r="F209" s="320"/>
      <c r="G209" s="320"/>
      <c r="H209" s="320"/>
      <c r="I209" s="320"/>
      <c r="J209" s="320"/>
      <c r="K209" s="320"/>
      <c r="O209" s="320" t="s">
        <v>102</v>
      </c>
      <c r="P209" s="320"/>
      <c r="Q209" s="320"/>
      <c r="R209" s="320"/>
      <c r="S209" s="320"/>
      <c r="T209" s="320"/>
      <c r="U209" s="320"/>
      <c r="V209" s="320"/>
    </row>
  </sheetData>
  <mergeCells count="293">
    <mergeCell ref="C207:K207"/>
    <mergeCell ref="O207:V207"/>
    <mergeCell ref="C208:K208"/>
    <mergeCell ref="O208:V208"/>
    <mergeCell ref="C209:K209"/>
    <mergeCell ref="O209:V209"/>
    <mergeCell ref="O199:V199"/>
    <mergeCell ref="I201:M201"/>
    <mergeCell ref="O203:V204"/>
    <mergeCell ref="C204:N204"/>
    <mergeCell ref="C205:K206"/>
    <mergeCell ref="O205:V206"/>
    <mergeCell ref="E195:G195"/>
    <mergeCell ref="O195:V195"/>
    <mergeCell ref="E196:G196"/>
    <mergeCell ref="O196:V197"/>
    <mergeCell ref="E197:L197"/>
    <mergeCell ref="E198:F198"/>
    <mergeCell ref="G198:N198"/>
    <mergeCell ref="O198:V198"/>
    <mergeCell ref="D189:L189"/>
    <mergeCell ref="O189:V192"/>
    <mergeCell ref="D190:L190"/>
    <mergeCell ref="D191:L191"/>
    <mergeCell ref="D192:L192"/>
    <mergeCell ref="C193:L193"/>
    <mergeCell ref="D181:L181"/>
    <mergeCell ref="C182:L182"/>
    <mergeCell ref="D186:L186"/>
    <mergeCell ref="D187:L187"/>
    <mergeCell ref="O187:W187"/>
    <mergeCell ref="D188:L188"/>
    <mergeCell ref="O188:W188"/>
    <mergeCell ref="D174:E174"/>
    <mergeCell ref="G174:L174"/>
    <mergeCell ref="M174:O174"/>
    <mergeCell ref="C175:W175"/>
    <mergeCell ref="D179:L179"/>
    <mergeCell ref="D180:L180"/>
    <mergeCell ref="D172:E172"/>
    <mergeCell ref="G172:L172"/>
    <mergeCell ref="M172:O172"/>
    <mergeCell ref="D173:E173"/>
    <mergeCell ref="G173:L173"/>
    <mergeCell ref="M173:O173"/>
    <mergeCell ref="D170:E170"/>
    <mergeCell ref="G170:L170"/>
    <mergeCell ref="M170:O170"/>
    <mergeCell ref="D171:E171"/>
    <mergeCell ref="G171:L171"/>
    <mergeCell ref="M171:O171"/>
    <mergeCell ref="C165:T165"/>
    <mergeCell ref="C168:C169"/>
    <mergeCell ref="D168:O168"/>
    <mergeCell ref="P168:W168"/>
    <mergeCell ref="X168:X169"/>
    <mergeCell ref="D169:E169"/>
    <mergeCell ref="G169:L169"/>
    <mergeCell ref="M169:O169"/>
    <mergeCell ref="C151:T151"/>
    <mergeCell ref="C155:C157"/>
    <mergeCell ref="D155:J157"/>
    <mergeCell ref="K155:S155"/>
    <mergeCell ref="T155:T157"/>
    <mergeCell ref="U155:U157"/>
    <mergeCell ref="K156:M156"/>
    <mergeCell ref="N156:P156"/>
    <mergeCell ref="Q156:S156"/>
    <mergeCell ref="D148:G148"/>
    <mergeCell ref="J148:K148"/>
    <mergeCell ref="D149:G149"/>
    <mergeCell ref="J149:K149"/>
    <mergeCell ref="D150:G150"/>
    <mergeCell ref="J150:K150"/>
    <mergeCell ref="T143:T144"/>
    <mergeCell ref="D145:G145"/>
    <mergeCell ref="J145:K145"/>
    <mergeCell ref="D146:G146"/>
    <mergeCell ref="J146:K146"/>
    <mergeCell ref="D147:G147"/>
    <mergeCell ref="J147:K147"/>
    <mergeCell ref="L141:L144"/>
    <mergeCell ref="M141:T142"/>
    <mergeCell ref="U141:U144"/>
    <mergeCell ref="M143:M144"/>
    <mergeCell ref="N143:N144"/>
    <mergeCell ref="O143:O144"/>
    <mergeCell ref="P143:P144"/>
    <mergeCell ref="Q143:Q144"/>
    <mergeCell ref="R143:R144"/>
    <mergeCell ref="S143:S144"/>
    <mergeCell ref="K133:Q133"/>
    <mergeCell ref="K134:Q134"/>
    <mergeCell ref="K135:Q135"/>
    <mergeCell ref="K136:Q136"/>
    <mergeCell ref="C137:U137"/>
    <mergeCell ref="C141:C144"/>
    <mergeCell ref="D141:G144"/>
    <mergeCell ref="H141:H144"/>
    <mergeCell ref="I141:I144"/>
    <mergeCell ref="J141:K144"/>
    <mergeCell ref="K127:Q127"/>
    <mergeCell ref="K128:Q128"/>
    <mergeCell ref="K129:Q129"/>
    <mergeCell ref="K130:Q130"/>
    <mergeCell ref="K131:Q131"/>
    <mergeCell ref="K132:Q132"/>
    <mergeCell ref="C119:W119"/>
    <mergeCell ref="C125:C126"/>
    <mergeCell ref="D125:I126"/>
    <mergeCell ref="J125:J126"/>
    <mergeCell ref="K125:U125"/>
    <mergeCell ref="V125:V126"/>
    <mergeCell ref="K126:Q126"/>
    <mergeCell ref="D117:J117"/>
    <mergeCell ref="K117:L117"/>
    <mergeCell ref="M117:N117"/>
    <mergeCell ref="P117:Q117"/>
    <mergeCell ref="D118:J118"/>
    <mergeCell ref="K118:L118"/>
    <mergeCell ref="M118:N118"/>
    <mergeCell ref="P118:Q118"/>
    <mergeCell ref="D115:J115"/>
    <mergeCell ref="K115:L115"/>
    <mergeCell ref="M115:N115"/>
    <mergeCell ref="P115:Q115"/>
    <mergeCell ref="D116:J116"/>
    <mergeCell ref="K116:L116"/>
    <mergeCell ref="M116:N116"/>
    <mergeCell ref="P116:Q116"/>
    <mergeCell ref="D113:J113"/>
    <mergeCell ref="K113:L113"/>
    <mergeCell ref="M113:N113"/>
    <mergeCell ref="P113:Q113"/>
    <mergeCell ref="D114:J114"/>
    <mergeCell ref="K114:L114"/>
    <mergeCell ref="M114:N114"/>
    <mergeCell ref="P114:Q114"/>
    <mergeCell ref="C108:W108"/>
    <mergeCell ref="C111:C112"/>
    <mergeCell ref="D111:J112"/>
    <mergeCell ref="K111:L112"/>
    <mergeCell ref="M111:W111"/>
    <mergeCell ref="X111:X112"/>
    <mergeCell ref="M112:N112"/>
    <mergeCell ref="P112:Q112"/>
    <mergeCell ref="S112:T112"/>
    <mergeCell ref="D102:G102"/>
    <mergeCell ref="D103:G103"/>
    <mergeCell ref="D104:G104"/>
    <mergeCell ref="D105:G105"/>
    <mergeCell ref="D106:G106"/>
    <mergeCell ref="D107:G107"/>
    <mergeCell ref="C84:C88"/>
    <mergeCell ref="D84:N84"/>
    <mergeCell ref="D85:D88"/>
    <mergeCell ref="E85:K88"/>
    <mergeCell ref="L85:L88"/>
    <mergeCell ref="M85:M87"/>
    <mergeCell ref="N85:N87"/>
    <mergeCell ref="W98:W101"/>
    <mergeCell ref="X98:X101"/>
    <mergeCell ref="J99:Q99"/>
    <mergeCell ref="J100:J101"/>
    <mergeCell ref="K100:K101"/>
    <mergeCell ref="L100:L101"/>
    <mergeCell ref="M100:M101"/>
    <mergeCell ref="N100:N101"/>
    <mergeCell ref="O100:O101"/>
    <mergeCell ref="P100:P101"/>
    <mergeCell ref="C98:C101"/>
    <mergeCell ref="D98:G101"/>
    <mergeCell ref="H98:H101"/>
    <mergeCell ref="I98:I101"/>
    <mergeCell ref="J98:Q98"/>
    <mergeCell ref="R98:V99"/>
    <mergeCell ref="Q100:Q101"/>
    <mergeCell ref="E69:H69"/>
    <mergeCell ref="E70:H70"/>
    <mergeCell ref="E71:H71"/>
    <mergeCell ref="L66:L68"/>
    <mergeCell ref="M66:O66"/>
    <mergeCell ref="P66:R66"/>
    <mergeCell ref="S66:T66"/>
    <mergeCell ref="R100:V100"/>
    <mergeCell ref="E89:K89"/>
    <mergeCell ref="E90:K90"/>
    <mergeCell ref="E91:K91"/>
    <mergeCell ref="E92:K92"/>
    <mergeCell ref="E72:H72"/>
    <mergeCell ref="E73:H73"/>
    <mergeCell ref="E74:H74"/>
    <mergeCell ref="E79:H79"/>
    <mergeCell ref="E80:H80"/>
    <mergeCell ref="C81:T81"/>
    <mergeCell ref="O84:Q84"/>
    <mergeCell ref="R84:S87"/>
    <mergeCell ref="T84:T88"/>
    <mergeCell ref="O85:P87"/>
    <mergeCell ref="Q85:Q88"/>
    <mergeCell ref="C94:S94"/>
    <mergeCell ref="U66:U68"/>
    <mergeCell ref="M67:M68"/>
    <mergeCell ref="N67:N68"/>
    <mergeCell ref="O67:O68"/>
    <mergeCell ref="P67:P68"/>
    <mergeCell ref="Q67:Q68"/>
    <mergeCell ref="E57:H57"/>
    <mergeCell ref="E58:H58"/>
    <mergeCell ref="E59:H59"/>
    <mergeCell ref="C60:V60"/>
    <mergeCell ref="C66:C68"/>
    <mergeCell ref="D66:D68"/>
    <mergeCell ref="E66:H68"/>
    <mergeCell ref="I66:I68"/>
    <mergeCell ref="J66:J67"/>
    <mergeCell ref="K66:K68"/>
    <mergeCell ref="R67:R68"/>
    <mergeCell ref="S67:S68"/>
    <mergeCell ref="T67:T68"/>
    <mergeCell ref="E52:H52"/>
    <mergeCell ref="E53:H53"/>
    <mergeCell ref="E54:H54"/>
    <mergeCell ref="E55:H55"/>
    <mergeCell ref="E56:H56"/>
    <mergeCell ref="L49:L51"/>
    <mergeCell ref="M49:M51"/>
    <mergeCell ref="N49:N51"/>
    <mergeCell ref="O49:P49"/>
    <mergeCell ref="W49:W51"/>
    <mergeCell ref="O50:O51"/>
    <mergeCell ref="P50:P51"/>
    <mergeCell ref="Q50:R50"/>
    <mergeCell ref="S50:U50"/>
    <mergeCell ref="E43:J43"/>
    <mergeCell ref="E44:J44"/>
    <mergeCell ref="E45:J45"/>
    <mergeCell ref="C46:W46"/>
    <mergeCell ref="C49:C51"/>
    <mergeCell ref="D49:D51"/>
    <mergeCell ref="E49:H51"/>
    <mergeCell ref="I49:I51"/>
    <mergeCell ref="J49:J50"/>
    <mergeCell ref="K49:K51"/>
    <mergeCell ref="V50:V51"/>
    <mergeCell ref="Q49:V49"/>
    <mergeCell ref="T35:U37"/>
    <mergeCell ref="V35:W37"/>
    <mergeCell ref="E39:J39"/>
    <mergeCell ref="E40:J40"/>
    <mergeCell ref="E41:J41"/>
    <mergeCell ref="E42:J42"/>
    <mergeCell ref="T34:W34"/>
    <mergeCell ref="X34:X38"/>
    <mergeCell ref="D35:D38"/>
    <mergeCell ref="E35:J38"/>
    <mergeCell ref="K35:K38"/>
    <mergeCell ref="L35:L37"/>
    <mergeCell ref="M35:M37"/>
    <mergeCell ref="N35:N37"/>
    <mergeCell ref="O35:P37"/>
    <mergeCell ref="Q35:Q38"/>
    <mergeCell ref="D28:J28"/>
    <mergeCell ref="L28:O28"/>
    <mergeCell ref="D29:J29"/>
    <mergeCell ref="L29:O29"/>
    <mergeCell ref="C30:O30"/>
    <mergeCell ref="C26:O26"/>
    <mergeCell ref="D27:J27"/>
    <mergeCell ref="L27:O27"/>
    <mergeCell ref="C34:C38"/>
    <mergeCell ref="D34:N34"/>
    <mergeCell ref="O34:S34"/>
    <mergeCell ref="R35:S37"/>
    <mergeCell ref="A1:U1"/>
    <mergeCell ref="A2:U2"/>
    <mergeCell ref="I5:L5"/>
    <mergeCell ref="S5:V5"/>
    <mergeCell ref="I6:L6"/>
    <mergeCell ref="S6:V6"/>
    <mergeCell ref="G13:G14"/>
    <mergeCell ref="K13:L13"/>
    <mergeCell ref="M13:M14"/>
    <mergeCell ref="I7:L7"/>
    <mergeCell ref="S7:V7"/>
    <mergeCell ref="I8:L8"/>
    <mergeCell ref="C12:C14"/>
    <mergeCell ref="D12:M12"/>
    <mergeCell ref="N12:O13"/>
    <mergeCell ref="P12:P13"/>
    <mergeCell ref="D13:D14"/>
    <mergeCell ref="E13:E14"/>
    <mergeCell ref="F13:F14"/>
  </mergeCells>
  <conditionalFormatting sqref="D187:L187">
    <cfRule type="cellIs" dxfId="0" priority="1" operator="notEqual">
      <formula>"""ภาระงานสอน"""</formula>
    </cfRule>
  </conditionalFormatting>
  <dataValidations count="13">
    <dataValidation type="list" allowBlank="1" showInputMessage="1" showErrorMessage="1" sqref="T127:T136" xr:uid="{B39E6C02-8F13-4862-8D96-74B939F8BF40}">
      <formula1>"ผู้ดำเนินโครงการ,ผู้เข้าร่วม"</formula1>
    </dataValidation>
    <dataValidation type="list" allowBlank="1" showInputMessage="1" showErrorMessage="1" sqref="BC125:BC136 K127:K136" xr:uid="{D9CA26E8-7144-4EB2-A87D-6BE979379940}">
      <formula1>บริการวิชาการ</formula1>
    </dataValidation>
    <dataValidation type="list" allowBlank="1" showInputMessage="1" showErrorMessage="1" sqref="V113:V118" xr:uid="{88E5AE0C-D141-44F0-89E1-8F81A5C83D1F}">
      <formula1>"จดอนุสิทธิบัตร,จดสิทธิบัตร,รางวัลระดับชาติ,รางวัลระดับนานาชาติ"</formula1>
    </dataValidation>
    <dataValidation type="list" allowBlank="1" showInputMessage="1" showErrorMessage="1" sqref="S113:S118" xr:uid="{9BE962B9-2767-445C-BC7C-1084ED280288}">
      <formula1>"ชาติ,นานาชาติ"</formula1>
    </dataValidation>
    <dataValidation type="list" allowBlank="1" showInputMessage="1" showErrorMessage="1" sqref="T113:T118" xr:uid="{7591489F-F40C-4DDD-A253-86B9AF954C78}">
      <formula1>"อันดับแรก/บรรณกิจ,อื่นๆ"</formula1>
    </dataValidation>
    <dataValidation type="list" allowBlank="1" showInputMessage="1" showErrorMessage="1" sqref="P69:Q80 N69:N80" xr:uid="{D138BBA9-2F8E-4B99-8872-F99E7B3124F5}">
      <formula1>"ค้นคว้าอิสระ/สาระนิพนธ์,วิทยานิพนธ์,ดุษฎีนิพนธ์"</formula1>
    </dataValidation>
    <dataValidation type="list" allowBlank="1" showInputMessage="1" showErrorMessage="1" sqref="M69:M80 M52:M59" xr:uid="{797694DF-1BBC-48EA-AE50-CC15BAE12CB4}">
      <formula1>"หลัก,ร่วม"</formula1>
    </dataValidation>
    <dataValidation type="list" allowBlank="1" showInputMessage="1" showErrorMessage="1" sqref="J15:J25 M39:M41" xr:uid="{28518A0D-F334-49FD-950D-9F279FE119A6}">
      <formula1>"ใช่,ไม่ใช่"</formula1>
    </dataValidation>
    <dataValidation type="list" allowBlank="1" showInputMessage="1" showErrorMessage="1" sqref="I15:I25 N39:N45" xr:uid="{1F36F4CD-1744-45C5-AD9E-07CB9B5909EF}">
      <formula1>"มี,ไม่มี"</formula1>
    </dataValidation>
    <dataValidation type="list" allowBlank="1" showInputMessage="1" showErrorMessage="1" sqref="M113:M118" xr:uid="{F6976FF4-97BD-4D50-BF65-9EA8E770F140}">
      <formula1>ผลงานอื่น_1</formula1>
    </dataValidation>
    <dataValidation type="list" allowBlank="1" showInputMessage="1" showErrorMessage="1" sqref="P113:P118" xr:uid="{39EDD86E-A8BA-423F-A348-562FA1C4DA4C}">
      <formula1>ผลงานอื่น_2</formula1>
    </dataValidation>
    <dataValidation type="list" allowBlank="1" showInputMessage="1" showErrorMessage="1" sqref="S127:S136 M42:M45 J102:W107 K158:S164 P170:W174 D195:D198 E203 I203 M145:T150 K27:K29 N89:N93" xr:uid="{9ED6E7CD-73FB-45B9-B16B-F1015B5300D0}">
      <formula1>"ü"</formula1>
    </dataValidation>
    <dataValidation type="list" allowBlank="1" showInputMessage="1" showErrorMessage="1" sqref="I6:L6" xr:uid="{896BFE77-B039-4C89-AF9B-149272977C1C}">
      <formula1>ตำแหน่งวิชาการ</formula1>
    </dataValidation>
  </dataValidations>
  <printOptions horizontalCentered="1"/>
  <pageMargins left="0.15748031496062992" right="0.15748031496062992" top="0.35433070866141736" bottom="0.31496062992125984" header="0.15748031496062992" footer="0.15748031496062992"/>
  <pageSetup paperSize="9" scale="41" fitToHeight="6" orientation="landscape" r:id="rId1"/>
  <headerFooter>
    <oddHeader>&amp;R&amp;P</oddHeader>
    <oddFooter>&amp;R&amp;D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86D4929-C17D-4751-BB08-CF70BB659FFD}">
          <x14:formula1>
            <xm:f>การนับภารกิจ!$R$18:$R$20</xm:f>
          </x14:formula1>
          <xm:sqref>D15:D25</xm:sqref>
        </x14:dataValidation>
        <x14:dataValidation type="list" allowBlank="1" showInputMessage="1" showErrorMessage="1" xr:uid="{1E771D61-B35E-48E9-AC24-383C1673B9DF}">
          <x14:formula1>
            <xm:f>การนับภารกิจ!$M$4:$M$32</xm:f>
          </x14:formula1>
          <xm:sqref>S5:V5</xm:sqref>
        </x14:dataValidation>
        <x14:dataValidation type="list" allowBlank="1" showInputMessage="1" showErrorMessage="1" xr:uid="{BD10CF78-DA89-484B-BEDD-FEB6BD506E79}">
          <x14:formula1>
            <xm:f>การนับภารกิจ!$R$4:$R$15</xm:f>
          </x14:formula1>
          <xm:sqref>S6:V6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T41"/>
  <sheetViews>
    <sheetView topLeftCell="C1" zoomScaleNormal="100" workbookViewId="0">
      <selection activeCell="D15" sqref="D15:K15"/>
    </sheetView>
  </sheetViews>
  <sheetFormatPr defaultColWidth="9.140625" defaultRowHeight="12.75"/>
  <cols>
    <col min="1" max="1" width="3" style="1" customWidth="1"/>
    <col min="2" max="2" width="3.140625" style="1" customWidth="1"/>
    <col min="3" max="3" width="5" style="1" customWidth="1"/>
    <col min="4" max="4" width="9.140625" style="1"/>
    <col min="5" max="7" width="6.42578125" style="1" customWidth="1"/>
    <col min="8" max="8" width="7.5703125" style="1" customWidth="1"/>
    <col min="9" max="10" width="6.42578125" style="1" customWidth="1"/>
    <col min="11" max="11" width="6.28515625" style="1" customWidth="1"/>
    <col min="12" max="12" width="14.140625" style="1" customWidth="1"/>
    <col min="13" max="13" width="13.28515625" style="1" customWidth="1"/>
    <col min="14" max="14" width="12.5703125" style="1" customWidth="1"/>
    <col min="15" max="15" width="15" style="1" customWidth="1"/>
    <col min="16" max="18" width="6.28515625" style="1" customWidth="1"/>
    <col min="19" max="20" width="6.85546875" style="1" customWidth="1"/>
    <col min="21" max="23" width="6.42578125" style="1" customWidth="1"/>
    <col min="24" max="16384" width="9.140625" style="1"/>
  </cols>
  <sheetData>
    <row r="1" spans="2:20">
      <c r="B1" s="13"/>
      <c r="C1" s="518" t="s">
        <v>104</v>
      </c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13"/>
      <c r="Q1" s="13"/>
      <c r="R1" s="13"/>
      <c r="S1" s="13"/>
      <c r="T1" s="13"/>
    </row>
    <row r="2" spans="2:20">
      <c r="B2" s="13"/>
      <c r="C2" s="518" t="s">
        <v>374</v>
      </c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13"/>
      <c r="Q2" s="13"/>
      <c r="R2" s="13"/>
      <c r="S2" s="13"/>
      <c r="T2" s="13"/>
    </row>
    <row r="4" spans="2:20">
      <c r="C4" s="7" t="s">
        <v>5</v>
      </c>
      <c r="G4" s="543" t="str">
        <f>+'ภาคการศึกษาที่ 1'!I5</f>
        <v>12345439</v>
      </c>
      <c r="H4" s="543"/>
      <c r="I4" s="543"/>
      <c r="J4" s="543"/>
      <c r="L4" s="7"/>
      <c r="M4" s="7"/>
      <c r="N4" s="7"/>
      <c r="O4" s="7"/>
      <c r="P4" s="7"/>
      <c r="Q4" s="7"/>
      <c r="R4" s="7"/>
      <c r="S4" s="7"/>
    </row>
    <row r="5" spans="2:20">
      <c r="C5" s="7" t="s">
        <v>143</v>
      </c>
      <c r="G5" s="544">
        <f>+'ภาคการศึกษาที่ 1'!I6</f>
        <v>0</v>
      </c>
      <c r="H5" s="544"/>
      <c r="I5" s="544"/>
      <c r="J5" s="544"/>
      <c r="L5" s="7"/>
      <c r="M5" s="7"/>
      <c r="N5" s="7"/>
      <c r="O5" s="7"/>
      <c r="P5" s="7"/>
      <c r="Q5" s="7"/>
      <c r="R5" s="7"/>
      <c r="S5" s="7"/>
    </row>
    <row r="6" spans="2:20">
      <c r="C6" s="7" t="s">
        <v>6</v>
      </c>
      <c r="G6" s="545">
        <f>+'ภาคการศึกษาที่ 1'!I7</f>
        <v>0</v>
      </c>
      <c r="H6" s="545"/>
      <c r="I6" s="545"/>
      <c r="J6" s="545"/>
    </row>
    <row r="7" spans="2:20">
      <c r="C7" s="7" t="s">
        <v>7</v>
      </c>
      <c r="G7" s="544">
        <f>+'ภาคการศึกษาที่ 1'!I8</f>
        <v>0</v>
      </c>
      <c r="H7" s="544"/>
      <c r="I7" s="544"/>
      <c r="J7" s="544"/>
    </row>
    <row r="8" spans="2:20">
      <c r="C8" s="7" t="s">
        <v>8</v>
      </c>
      <c r="G8" s="545">
        <f>+'ภาคการศึกษาที่ 1'!S5</f>
        <v>0</v>
      </c>
      <c r="H8" s="545"/>
      <c r="I8" s="545"/>
      <c r="J8" s="545"/>
    </row>
    <row r="9" spans="2:20">
      <c r="C9" s="7" t="s">
        <v>64</v>
      </c>
      <c r="G9" s="544" t="str">
        <f>+'ภาคการศึกษาที่ 1'!S6</f>
        <v>วิทยาลัยสหวิทยาการ (College for Interdisciplinary Studies)</v>
      </c>
      <c r="H9" s="544"/>
      <c r="I9" s="544"/>
      <c r="J9" s="544"/>
    </row>
    <row r="10" spans="2:20">
      <c r="C10" s="1" t="s">
        <v>63</v>
      </c>
      <c r="G10" s="545">
        <f>+'ภาคการศึกษาที่ 1'!S7</f>
        <v>0</v>
      </c>
      <c r="H10" s="545"/>
      <c r="I10" s="545"/>
      <c r="J10" s="545"/>
    </row>
    <row r="12" spans="2:20">
      <c r="C12" s="332" t="s">
        <v>10</v>
      </c>
      <c r="D12" s="358" t="s">
        <v>82</v>
      </c>
      <c r="E12" s="359"/>
      <c r="F12" s="359"/>
      <c r="G12" s="359"/>
      <c r="H12" s="359"/>
      <c r="I12" s="359"/>
      <c r="J12" s="359"/>
      <c r="K12" s="360"/>
      <c r="L12" s="376" t="s">
        <v>82</v>
      </c>
      <c r="M12" s="551"/>
      <c r="N12" s="551"/>
      <c r="O12" s="377"/>
    </row>
    <row r="13" spans="2:20">
      <c r="C13" s="364"/>
      <c r="D13" s="361"/>
      <c r="E13" s="362"/>
      <c r="F13" s="362"/>
      <c r="G13" s="362"/>
      <c r="H13" s="362"/>
      <c r="I13" s="362"/>
      <c r="J13" s="362"/>
      <c r="K13" s="363"/>
      <c r="L13" s="36" t="s">
        <v>2</v>
      </c>
      <c r="M13" s="36" t="s">
        <v>3</v>
      </c>
      <c r="N13" s="10" t="s">
        <v>88</v>
      </c>
      <c r="O13" s="10" t="s">
        <v>89</v>
      </c>
    </row>
    <row r="14" spans="2:20">
      <c r="C14" s="5">
        <v>1</v>
      </c>
      <c r="D14" s="548" t="str">
        <f>IF(O14&lt;20,"ภาระการสอนไม่เป็นไปตามเกณฑ์ (น้อยกว่า 20 ภาระงาน / สัปดาห์)","ภาระการสอน")</f>
        <v>ภาระการสอน</v>
      </c>
      <c r="E14" s="549"/>
      <c r="F14" s="549"/>
      <c r="G14" s="549"/>
      <c r="H14" s="549"/>
      <c r="I14" s="549"/>
      <c r="J14" s="549"/>
      <c r="K14" s="550"/>
      <c r="L14" s="53">
        <f>+'ภาคการศึกษาที่ 1'!M187</f>
        <v>219.51</v>
      </c>
      <c r="M14" s="53">
        <f>+'ภาคการศึกษาที่ 2'!M187</f>
        <v>112.35000000000002</v>
      </c>
      <c r="N14" s="53">
        <f t="shared" ref="N14:N19" si="0">L14+M14</f>
        <v>331.86</v>
      </c>
      <c r="O14" s="53">
        <f t="shared" ref="O14:O19" si="1">ROUND(N14/2,2)</f>
        <v>165.93</v>
      </c>
    </row>
    <row r="15" spans="2:20">
      <c r="C15" s="5">
        <v>2</v>
      </c>
      <c r="D15" s="515" t="s">
        <v>377</v>
      </c>
      <c r="E15" s="516"/>
      <c r="F15" s="516"/>
      <c r="G15" s="516"/>
      <c r="H15" s="516"/>
      <c r="I15" s="516"/>
      <c r="J15" s="516"/>
      <c r="K15" s="517"/>
      <c r="L15" s="53">
        <f>+'ภาคการศึกษาที่ 1'!M188</f>
        <v>43</v>
      </c>
      <c r="M15" s="53">
        <f>+'ภาคการศึกษาที่ 2'!M188</f>
        <v>43</v>
      </c>
      <c r="N15" s="53">
        <f t="shared" si="0"/>
        <v>86</v>
      </c>
      <c r="O15" s="53">
        <f t="shared" si="1"/>
        <v>43</v>
      </c>
    </row>
    <row r="16" spans="2:20">
      <c r="C16" s="5">
        <v>3</v>
      </c>
      <c r="D16" s="515" t="s">
        <v>375</v>
      </c>
      <c r="E16" s="516"/>
      <c r="F16" s="516"/>
      <c r="G16" s="516"/>
      <c r="H16" s="516"/>
      <c r="I16" s="516"/>
      <c r="J16" s="516"/>
      <c r="K16" s="517"/>
      <c r="L16" s="53">
        <f>+'ภาคการศึกษาที่ 1'!M189</f>
        <v>23.642857142857142</v>
      </c>
      <c r="M16" s="53">
        <f>+'ภาคการศึกษาที่ 2'!M189</f>
        <v>15.242857142857142</v>
      </c>
      <c r="N16" s="53">
        <f t="shared" si="0"/>
        <v>38.885714285714286</v>
      </c>
      <c r="O16" s="53">
        <f t="shared" si="1"/>
        <v>19.440000000000001</v>
      </c>
    </row>
    <row r="17" spans="3:15">
      <c r="C17" s="5">
        <v>4</v>
      </c>
      <c r="D17" s="515" t="s">
        <v>85</v>
      </c>
      <c r="E17" s="516"/>
      <c r="F17" s="516"/>
      <c r="G17" s="516"/>
      <c r="H17" s="516"/>
      <c r="I17" s="516"/>
      <c r="J17" s="516"/>
      <c r="K17" s="517"/>
      <c r="L17" s="53">
        <f>+'ภาคการศึกษาที่ 1'!M190</f>
        <v>6</v>
      </c>
      <c r="M17" s="53">
        <f>+'ภาคการศึกษาที่ 2'!M190</f>
        <v>6</v>
      </c>
      <c r="N17" s="53">
        <f t="shared" si="0"/>
        <v>12</v>
      </c>
      <c r="O17" s="53">
        <f t="shared" si="1"/>
        <v>6</v>
      </c>
    </row>
    <row r="18" spans="3:15">
      <c r="C18" s="5">
        <v>5</v>
      </c>
      <c r="D18" s="515" t="s">
        <v>376</v>
      </c>
      <c r="E18" s="516"/>
      <c r="F18" s="516"/>
      <c r="G18" s="516"/>
      <c r="H18" s="516"/>
      <c r="I18" s="516"/>
      <c r="J18" s="516"/>
      <c r="K18" s="517"/>
      <c r="L18" s="53">
        <f>+'ภาคการศึกษาที่ 1'!M191</f>
        <v>0</v>
      </c>
      <c r="M18" s="53">
        <f>+'ภาคการศึกษาที่ 2'!M191</f>
        <v>0</v>
      </c>
      <c r="N18" s="53">
        <f t="shared" si="0"/>
        <v>0</v>
      </c>
      <c r="O18" s="53">
        <f t="shared" si="1"/>
        <v>0</v>
      </c>
    </row>
    <row r="19" spans="3:15">
      <c r="C19" s="5">
        <v>6</v>
      </c>
      <c r="D19" s="515" t="s">
        <v>86</v>
      </c>
      <c r="E19" s="516"/>
      <c r="F19" s="516"/>
      <c r="G19" s="516"/>
      <c r="H19" s="516"/>
      <c r="I19" s="516"/>
      <c r="J19" s="516"/>
      <c r="K19" s="517"/>
      <c r="L19" s="53">
        <f>+'ภาคการศึกษาที่ 1'!M192</f>
        <v>0</v>
      </c>
      <c r="M19" s="53">
        <f>+'ภาคการศึกษาที่ 2'!M192</f>
        <v>0</v>
      </c>
      <c r="N19" s="53">
        <f t="shared" si="0"/>
        <v>0</v>
      </c>
      <c r="O19" s="53">
        <f t="shared" si="1"/>
        <v>0</v>
      </c>
    </row>
    <row r="20" spans="3:15">
      <c r="C20" s="558" t="s">
        <v>87</v>
      </c>
      <c r="D20" s="559"/>
      <c r="E20" s="559"/>
      <c r="F20" s="559"/>
      <c r="G20" s="559"/>
      <c r="H20" s="559"/>
      <c r="I20" s="559"/>
      <c r="J20" s="559"/>
      <c r="K20" s="560"/>
      <c r="L20" s="53">
        <f>SUM(L14:L19)</f>
        <v>292.15285714285716</v>
      </c>
      <c r="M20" s="53">
        <f>SUM(M14:M19)</f>
        <v>176.59285714285716</v>
      </c>
      <c r="N20" s="53">
        <f>SUM(N14:N19)</f>
        <v>468.74571428571431</v>
      </c>
      <c r="O20" s="53">
        <f>SUM(O14:O19)</f>
        <v>234.37</v>
      </c>
    </row>
    <row r="22" spans="3:15">
      <c r="C22" s="16" t="s">
        <v>196</v>
      </c>
    </row>
    <row r="23" spans="3:15">
      <c r="C23" s="1">
        <v>1</v>
      </c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1"/>
      <c r="O23" s="561"/>
    </row>
    <row r="24" spans="3:15">
      <c r="C24" s="1">
        <v>2</v>
      </c>
      <c r="D24" s="516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</row>
    <row r="25" spans="3:15">
      <c r="C25" s="1">
        <v>3</v>
      </c>
      <c r="D25" s="516"/>
      <c r="E25" s="516"/>
      <c r="F25" s="516"/>
      <c r="G25" s="516"/>
      <c r="H25" s="516"/>
      <c r="I25" s="516"/>
      <c r="J25" s="516"/>
      <c r="K25" s="516"/>
      <c r="L25" s="516"/>
      <c r="M25" s="516"/>
      <c r="N25" s="516"/>
      <c r="O25" s="516"/>
    </row>
    <row r="27" spans="3:15">
      <c r="L27" s="320" t="s">
        <v>93</v>
      </c>
      <c r="M27" s="320"/>
      <c r="N27" s="320"/>
      <c r="O27" s="320"/>
    </row>
    <row r="28" spans="3:15">
      <c r="L28" s="320"/>
      <c r="M28" s="320"/>
      <c r="N28" s="320"/>
      <c r="O28" s="320"/>
    </row>
    <row r="29" spans="3:15">
      <c r="L29" s="320"/>
      <c r="M29" s="320"/>
      <c r="N29" s="320"/>
      <c r="O29" s="320"/>
    </row>
    <row r="30" spans="3:15">
      <c r="L30" s="320" t="s">
        <v>94</v>
      </c>
      <c r="M30" s="320"/>
      <c r="N30" s="320"/>
      <c r="O30" s="320"/>
    </row>
    <row r="31" spans="3:15">
      <c r="L31" s="320" t="s">
        <v>95</v>
      </c>
      <c r="M31" s="320"/>
      <c r="N31" s="320"/>
      <c r="O31" s="320"/>
    </row>
    <row r="32" spans="3:15">
      <c r="L32" s="15"/>
      <c r="M32" s="15"/>
      <c r="N32" s="15"/>
      <c r="O32" s="15"/>
    </row>
    <row r="33" spans="3:15">
      <c r="C33" s="56" t="s">
        <v>140</v>
      </c>
      <c r="D33" s="57"/>
      <c r="E33" s="57"/>
      <c r="F33" s="57"/>
      <c r="G33" s="57"/>
      <c r="H33" s="57"/>
      <c r="I33" s="57"/>
      <c r="J33" s="57"/>
      <c r="K33" s="57"/>
      <c r="L33" s="58"/>
      <c r="M33" s="562" t="s">
        <v>141</v>
      </c>
      <c r="N33" s="563"/>
      <c r="O33" s="564"/>
    </row>
    <row r="34" spans="3:15" ht="13.5" thickBot="1">
      <c r="C34" s="59"/>
      <c r="D34" s="1" t="s">
        <v>97</v>
      </c>
      <c r="I34" s="557">
        <f>+'ภาคการศึกษาที่ 1'!$I$7</f>
        <v>0</v>
      </c>
      <c r="J34" s="557"/>
      <c r="K34" s="557"/>
      <c r="L34" s="60"/>
      <c r="M34" s="59"/>
      <c r="O34" s="60"/>
    </row>
    <row r="35" spans="3:15" ht="13.5" thickBot="1">
      <c r="C35" s="59"/>
      <c r="D35" s="1" t="s">
        <v>98</v>
      </c>
      <c r="F35" s="14"/>
      <c r="G35" s="1" t="s">
        <v>99</v>
      </c>
      <c r="I35" s="14"/>
      <c r="J35" s="1" t="s">
        <v>100</v>
      </c>
      <c r="L35" s="60"/>
      <c r="M35" s="59"/>
      <c r="O35" s="60"/>
    </row>
    <row r="36" spans="3:15" ht="13.9" customHeight="1">
      <c r="C36" s="59"/>
      <c r="D36" s="1" t="s">
        <v>385</v>
      </c>
      <c r="L36" s="60"/>
      <c r="M36" s="59"/>
      <c r="O36" s="60"/>
    </row>
    <row r="37" spans="3:15">
      <c r="C37" s="59"/>
      <c r="L37" s="60"/>
      <c r="M37" s="59"/>
      <c r="O37" s="60"/>
    </row>
    <row r="38" spans="3:15">
      <c r="C38" s="59"/>
      <c r="L38" s="60"/>
      <c r="M38" s="59"/>
      <c r="O38" s="60"/>
    </row>
    <row r="39" spans="3:15">
      <c r="C39" s="59"/>
      <c r="D39" s="320" t="s">
        <v>94</v>
      </c>
      <c r="E39" s="320"/>
      <c r="F39" s="320"/>
      <c r="G39" s="320"/>
      <c r="H39" s="320"/>
      <c r="I39" s="320"/>
      <c r="J39" s="320"/>
      <c r="K39" s="320"/>
      <c r="L39" s="61"/>
      <c r="M39" s="552" t="s">
        <v>94</v>
      </c>
      <c r="N39" s="320"/>
      <c r="O39" s="553"/>
    </row>
    <row r="40" spans="3:15">
      <c r="C40" s="59"/>
      <c r="D40" s="320" t="s">
        <v>101</v>
      </c>
      <c r="E40" s="320"/>
      <c r="F40" s="320"/>
      <c r="G40" s="320"/>
      <c r="H40" s="320"/>
      <c r="I40" s="320"/>
      <c r="J40" s="320"/>
      <c r="K40" s="320"/>
      <c r="L40" s="62"/>
      <c r="M40" s="552" t="s">
        <v>101</v>
      </c>
      <c r="N40" s="320"/>
      <c r="O40" s="553"/>
    </row>
    <row r="41" spans="3:15">
      <c r="C41" s="63"/>
      <c r="D41" s="555" t="s">
        <v>102</v>
      </c>
      <c r="E41" s="555"/>
      <c r="F41" s="555"/>
      <c r="G41" s="555"/>
      <c r="H41" s="555"/>
      <c r="I41" s="555"/>
      <c r="J41" s="555"/>
      <c r="K41" s="555"/>
      <c r="L41" s="64"/>
      <c r="M41" s="554" t="s">
        <v>102</v>
      </c>
      <c r="N41" s="555"/>
      <c r="O41" s="556"/>
    </row>
  </sheetData>
  <mergeCells count="34">
    <mergeCell ref="M41:O41"/>
    <mergeCell ref="G4:J4"/>
    <mergeCell ref="I34:K34"/>
    <mergeCell ref="D41:K41"/>
    <mergeCell ref="L31:O31"/>
    <mergeCell ref="D16:K16"/>
    <mergeCell ref="D17:K17"/>
    <mergeCell ref="D18:K18"/>
    <mergeCell ref="D19:K19"/>
    <mergeCell ref="C20:K20"/>
    <mergeCell ref="D23:O23"/>
    <mergeCell ref="D24:O24"/>
    <mergeCell ref="D25:O25"/>
    <mergeCell ref="G9:J9"/>
    <mergeCell ref="G6:J6"/>
    <mergeCell ref="M33:O33"/>
    <mergeCell ref="M39:O39"/>
    <mergeCell ref="M40:O40"/>
    <mergeCell ref="G8:J8"/>
    <mergeCell ref="G10:J10"/>
    <mergeCell ref="D39:K39"/>
    <mergeCell ref="D40:K40"/>
    <mergeCell ref="C1:O1"/>
    <mergeCell ref="C2:O2"/>
    <mergeCell ref="L27:O27"/>
    <mergeCell ref="L28:O29"/>
    <mergeCell ref="L30:O30"/>
    <mergeCell ref="D12:K13"/>
    <mergeCell ref="C12:C13"/>
    <mergeCell ref="D14:K14"/>
    <mergeCell ref="D15:K15"/>
    <mergeCell ref="L12:O12"/>
    <mergeCell ref="G5:J5"/>
    <mergeCell ref="G7:J7"/>
  </mergeCells>
  <printOptions horizontalCentered="1"/>
  <pageMargins left="0.15748031496062992" right="0.15748031496062992" top="0.35433070866141736" bottom="0.31496062992125984" header="0.15748031496062992" footer="0.15748031496062992"/>
  <pageSetup paperSize="9" scale="95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Sheet2</vt:lpstr>
      <vt:lpstr>การนับภารกิจ</vt:lpstr>
      <vt:lpstr>ภาคการศึกษาที่ 1</vt:lpstr>
      <vt:lpstr>ภาคการศึกษาที่ 2</vt:lpstr>
      <vt:lpstr>สรุปปีการศึกษา</vt:lpstr>
      <vt:lpstr>การนับภารกิจ!Print_Area</vt:lpstr>
      <vt:lpstr>สรุปปีการศึกษา!Print_Area</vt:lpstr>
      <vt:lpstr>ตำแหน่งวิชาการ</vt:lpstr>
      <vt:lpstr>'ภาคการศึกษาที่ 2'!บริการวิชาการ</vt:lpstr>
      <vt:lpstr>บริการวิชาการ</vt:lpstr>
      <vt:lpstr>ผลงานอื่น_1</vt:lpstr>
      <vt:lpstr>ผลงานอื่น_2</vt:lpstr>
      <vt:lpstr>ผลงานอื่น_3</vt:lpstr>
      <vt:lpstr>ผลงานอื่น_4</vt:lpstr>
      <vt:lpstr>สาขาวิชา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</dc:creator>
  <cp:lastModifiedBy>Prapawon Puranaphan อ.ประภาวรรณ ปุรณะพรรค์</cp:lastModifiedBy>
  <cp:lastPrinted>2021-07-20T09:15:45Z</cp:lastPrinted>
  <dcterms:created xsi:type="dcterms:W3CDTF">2016-01-07T02:35:04Z</dcterms:created>
  <dcterms:modified xsi:type="dcterms:W3CDTF">2024-03-26T08:22:35Z</dcterms:modified>
</cp:coreProperties>
</file>